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lazejak\Desktop\"/>
    </mc:Choice>
  </mc:AlternateContent>
  <xr:revisionPtr revIDLastSave="0" documentId="8_{4F118ADD-FC8F-4E81-A5E6-1BC475691824}" xr6:coauthVersionLast="47" xr6:coauthVersionMax="47" xr10:uidLastSave="{00000000-0000-0000-0000-000000000000}"/>
  <bookViews>
    <workbookView xWindow="-108" yWindow="-108" windowWidth="23256" windowHeight="12456" activeTab="1" xr2:uid="{0CDE105D-AC13-468A-9990-2DC341A91977}"/>
  </bookViews>
  <sheets>
    <sheet name="Opis" sheetId="15" r:id="rId1"/>
    <sheet name="Formularz" sheetId="1" r:id="rId2"/>
    <sheet name="Harmonogram rzecz-finanso" sheetId="2" r:id="rId3"/>
    <sheet name="Kalkulator mocy energii" sheetId="8" r:id="rId4"/>
    <sheet name="Osiągnięte efekty" sheetId="3" r:id="rId5"/>
    <sheet name="Koszty instalacji" sheetId="14" r:id="rId6"/>
    <sheet name="Analiza efektywności" sheetId="4" r:id="rId7"/>
    <sheet name="końcowa karta weryfikacyjna" sheetId="6" state="hidden" r:id="rId8"/>
    <sheet name="Redukcja emisji" sheetId="5" r:id="rId9"/>
    <sheet name="Parametry" sheetId="7" state="hidden" r:id="rId10"/>
    <sheet name="Stawki referencyjne" sheetId="10" state="hidden" r:id="rId11"/>
  </sheets>
  <definedNames>
    <definedName name="_xlnm._FilterDatabase" localSheetId="9" hidden="1">Parametry!$A$50:$D$50</definedName>
    <definedName name="_ftn1" localSheetId="1">Formularz!#REF!</definedName>
    <definedName name="_ftn2" localSheetId="1">Formularz!$A$32</definedName>
    <definedName name="_ftn3" localSheetId="1">Formularz!#REF!</definedName>
    <definedName name="_ftnref1" localSheetId="1">Formularz!#REF!</definedName>
    <definedName name="_ftnref2" localSheetId="1">Formularz!#REF!</definedName>
    <definedName name="_ftnref3" localSheetId="1">Formularz!#REF!</definedName>
    <definedName name="_Hlk172481909" localSheetId="7">'końcowa karta weryfikacyjna'!$A$8</definedName>
    <definedName name="_Hlk186466278" localSheetId="4">'Osiągnięte efekty'!#REF!</definedName>
    <definedName name="Biomasa">Parametry!$B$88</definedName>
    <definedName name="Fundusze_Europejskie_dla_Województwa_Dolnośląskiego__Działanie_2.5_Instrumenty_finansowe_na_OZE">Parametry!$I$2:$I$3</definedName>
    <definedName name="Fundusze_Europejskie_dla_Województwa_Lubelskiego__Działanie_4.10_Wykorzystanie_OZE_w_gospodarce">Parametry!$I$10</definedName>
    <definedName name="Fundusze_Europejskie_dla_Województwa_Lubelskiego__Działanie_4.7_Zwiększenie_wykorzystania_Odnawialnych_Źródeł_Energii">Parametry!$I$8:$I$9</definedName>
    <definedName name="Fundusze_Europejskie_dla_Województwa_Lubuskiego__Działanie_2.4_Odnawialne_źródła_energii_–_instrumenty_zwrotne">Parametry!$I$4:$I$5</definedName>
    <definedName name="Fundusze_Europejskie_dla_Województwa_Łódzkiego__Działanie_2.7_Odnawialne_źródła_energii_–_IF">Parametry!$I$6:$I$7</definedName>
    <definedName name="Fundusze_Europejskie_dla_Województwa_Małopolskiego__Działanie_2.22_Wsparcie_rozwoju_OZE___ZIT__IIT___Instrumenty_finansowe">Parametry!$I$19</definedName>
    <definedName name="Fundusze_Europejskie_dla_Województwa_Małopolskiego__Działanie_2.8_Wsparcie_rozwoju_OZE___Instrumenty_finansowe">Parametry!$I$16:$I$18</definedName>
    <definedName name="Fundusze_Europejskie_dla_Województwa_Mazowieckiego__Działanie_2.3_Pożyczka_na_OZE_dla_RWS___Odnawialne_źródła_energii">Parametry!$I$11:$I$12</definedName>
    <definedName name="Fundusze_Europejskie_dla_Województwa_Mazowieckiego__Działanie_2.3_Pożyczki_na_OZE_dla_RMR___Odnawialne_źródła_energii">Parametry!$I$13:$I$15</definedName>
    <definedName name="Fundusze_Europejskie_dla_Województwa_Opolskiego__Działanie_2.7_Instrumenty_finansowe_w_obszarze_środowiska">Parametry!$I$20:$I$21</definedName>
    <definedName name="Fundusze_Europejskie_dla_Województwa_Podkarpackiego__Działanie_2.4_Odnawialne_źródła_energii_–_IF">Parametry!$I$23:$I$24</definedName>
    <definedName name="Fundusze_Europejskie_dla_Województwa_Podlaskiego__Działanie_2.5_Pożyczki_na_energię_odnawialną">Parametry!$I$22</definedName>
    <definedName name="Fundusze_Europejskie_dla_Województwa_Świętokrzyskiego__Działanie_2.4_Zielona_energia_–_IF">Parametry!$I$29:$I$30</definedName>
    <definedName name="Fundusze_Europejskie_dla_Województwa_Warmińsko_Mazurskiego__Działanie_2.6_Odnawialne_źródła_energii_IF">Parametry!$I$31:$I$32</definedName>
    <definedName name="Fundusze_Europejskie_dla_Województwa_Wielkopolskiego__Działanie_2.4_Rozwój_energii_odnawialnej__OZE____Instrumenty_Finansowe">Parametry!$I$33:$I$34</definedName>
    <definedName name="Fundusze_Europejskie_dla_Województwa_Zachodniopomorskiego__Działanie_2.9_Wsparcie_rozwoju_OZE_poprzez_instrumenty_finansowe">Parametry!$I$25:$I$28</definedName>
    <definedName name="Instalacja_gazowa">Parametry!$B$78:$B$80</definedName>
    <definedName name="Kominek">Parametry!$B$87</definedName>
    <definedName name="Kotły_na_paliwa_stałe">Parametry!$B$81:$B$86</definedName>
    <definedName name="_xlnm.Print_Area" localSheetId="1">Formularz!$A$1:$G$180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12" i="5" l="1"/>
  <c r="C17" i="5"/>
  <c r="D57" i="7"/>
  <c r="D52" i="7"/>
  <c r="D51" i="7"/>
  <c r="M19" i="8"/>
  <c r="M16" i="8"/>
  <c r="H118" i="1"/>
  <c r="E139" i="1"/>
  <c r="C6" i="5"/>
  <c r="G14" i="4"/>
  <c r="G17" i="4"/>
  <c r="C7" i="14" a="1"/>
  <c r="C7" i="14" s="1"/>
  <c r="B7" i="14"/>
  <c r="E8" i="3"/>
  <c r="C8" i="5" l="1"/>
  <c r="E6" i="3"/>
  <c r="M10" i="8"/>
  <c r="G19" i="4" s="1"/>
  <c r="E74" i="1"/>
  <c r="H103" i="1"/>
  <c r="E109" i="1"/>
  <c r="G38" i="4" s="1"/>
  <c r="E52" i="7"/>
  <c r="E53" i="7"/>
  <c r="E54" i="7"/>
  <c r="E55" i="7"/>
  <c r="E56" i="7"/>
  <c r="E57" i="7"/>
  <c r="E58" i="7"/>
  <c r="E59" i="7"/>
  <c r="E51" i="7"/>
  <c r="C10" i="5" l="1"/>
  <c r="G8" i="4"/>
  <c r="C27" i="5" l="1"/>
  <c r="C26" i="5"/>
  <c r="C18" i="5"/>
  <c r="C5" i="5"/>
  <c r="B25" i="14"/>
  <c r="B16" i="14"/>
  <c r="E2" i="3"/>
  <c r="E30" i="3"/>
  <c r="E28" i="3"/>
  <c r="E26" i="3"/>
  <c r="E24" i="3"/>
  <c r="E22" i="3"/>
  <c r="E20" i="3"/>
  <c r="E18" i="3"/>
  <c r="E14" i="3"/>
  <c r="E12" i="3"/>
  <c r="E10" i="3"/>
  <c r="C6" i="4"/>
  <c r="C5" i="4"/>
  <c r="E143" i="1"/>
  <c r="E16" i="3" l="1"/>
  <c r="G7" i="4"/>
  <c r="G16" i="4"/>
  <c r="C21" i="5"/>
  <c r="C24" i="5" s="1"/>
  <c r="C20" i="5"/>
  <c r="G12" i="4"/>
  <c r="G13" i="4"/>
  <c r="G15" i="4"/>
  <c r="G18" i="4"/>
  <c r="G3" i="4"/>
  <c r="G4" i="4"/>
  <c r="G5" i="4"/>
  <c r="G6" i="4"/>
  <c r="D64" i="7"/>
  <c r="C13" i="4"/>
  <c r="D59" i="7"/>
  <c r="D63" i="7"/>
  <c r="D72" i="7"/>
  <c r="D71" i="7"/>
  <c r="D70" i="7"/>
  <c r="D69" i="7"/>
  <c r="D60" i="7"/>
  <c r="D61" i="7"/>
  <c r="C11" i="5"/>
  <c r="D65" i="7"/>
  <c r="D73" i="7"/>
  <c r="D62" i="7"/>
  <c r="D74" i="7"/>
  <c r="D67" i="7"/>
  <c r="D66" i="7"/>
  <c r="D68" i="7"/>
  <c r="D53" i="7"/>
  <c r="D54" i="7"/>
  <c r="D58" i="7"/>
  <c r="E29" i="3"/>
  <c r="C21" i="4"/>
  <c r="C11" i="4" l="1"/>
  <c r="C12" i="4"/>
  <c r="C28" i="5"/>
  <c r="C14" i="5"/>
  <c r="C34" i="4"/>
  <c r="C33" i="4"/>
  <c r="C32" i="4"/>
  <c r="C31" i="4"/>
  <c r="D30" i="4"/>
  <c r="D29" i="4"/>
  <c r="M13" i="8"/>
  <c r="M7" i="8"/>
  <c r="C25" i="4"/>
  <c r="C27" i="4"/>
  <c r="C23" i="4"/>
  <c r="C25" i="14" a="1"/>
  <c r="C25" i="14" s="1"/>
  <c r="C16" i="14" a="1"/>
  <c r="C16" i="14" s="1"/>
  <c r="C23" i="5" l="1"/>
  <c r="C30" i="5" s="1"/>
  <c r="C32" i="5" s="1"/>
  <c r="E4" i="3" s="1"/>
  <c r="D7" i="14"/>
  <c r="E9" i="14" s="1"/>
  <c r="C14" i="4"/>
  <c r="D25" i="14"/>
  <c r="E27" i="14" s="1"/>
  <c r="D16" i="14"/>
  <c r="E18" i="14" s="1"/>
  <c r="F14" i="2"/>
  <c r="H14" i="2" s="1"/>
  <c r="F15" i="2"/>
  <c r="H15" i="2" s="1"/>
  <c r="F16" i="2"/>
  <c r="F17" i="2"/>
  <c r="F18" i="2"/>
  <c r="F13" i="2"/>
  <c r="H13" i="2" s="1"/>
  <c r="C19" i="2"/>
  <c r="D19" i="2"/>
  <c r="C10" i="4" s="1"/>
  <c r="E19" i="2"/>
  <c r="O16" i="8"/>
  <c r="O10" i="8"/>
  <c r="O19" i="8"/>
  <c r="O13" i="8"/>
  <c r="M30" i="8"/>
  <c r="O7" i="8"/>
  <c r="C21" i="2" l="1"/>
  <c r="C8" i="4" s="1"/>
  <c r="C20" i="2"/>
  <c r="C7" i="4" s="1"/>
  <c r="E17" i="14"/>
  <c r="E26" i="14"/>
  <c r="E8" i="14"/>
  <c r="F19" i="2"/>
  <c r="M24" i="8"/>
  <c r="Q24" i="8" s="1"/>
  <c r="M27" i="8"/>
  <c r="M33" i="8" s="1"/>
  <c r="A2" i="7"/>
  <c r="C22" i="2" l="1"/>
  <c r="C9" i="4" s="1"/>
  <c r="C37" i="4" s="1"/>
  <c r="T33" i="8"/>
  <c r="Q7" i="8" s="1"/>
  <c r="R22" i="8"/>
  <c r="C17" i="4" l="1"/>
  <c r="C38" i="4"/>
  <c r="Q27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<sst xmlns="http://schemas.openxmlformats.org/spreadsheetml/2006/main" count="609" uniqueCount="452">
  <si>
    <t>Sprawdź czy moc magazynu zostanie zsumowana z mocą zainstalowanego w mikroinstalacji źródła OZE</t>
  </si>
  <si>
    <t>Wpisz dane parametrów technicznych zamontowanych urządzeń użytych w Twojej mikroinstalacji do formularza poniżej.</t>
  </si>
  <si>
    <t>Moc umowna / przyłączeniowa budynku [kW]</t>
  </si>
  <si>
    <t>Moc zainstalowana mikroinstalacji (znamionowa paneli, turbiny, generatora) [kW]</t>
  </si>
  <si>
    <t>Suma mocy zamontowanych inwerterów [kW]</t>
  </si>
  <si>
    <t>Moc zainstalowanego magazynu energii elektrycznej [kW]</t>
  </si>
  <si>
    <t>Pojemność magazynu energii [kWh]</t>
  </si>
  <si>
    <t>Spełnienie warunków ustawowych (przeliczane automatycznie):</t>
  </si>
  <si>
    <t>Czy moc zainstalowana magazynu energii elektrycznej nie jest większa od mocy zainstalowanej elektrycznej mikroinstalacji (paneli PV, turbiny, generatora)?</t>
  </si>
  <si>
    <t>Czy łączna moc możliwa do wprowadzenia do sieci (czyt. suma mocy maksymalnych inwerterów) nie jest większa niż moc zainstalowana elektryczna mikroinstalacji (paneli PV, turbiny, generatora)?</t>
  </si>
  <si>
    <t>Wymagana moc umowna / przyłączeniowa wynosi:</t>
  </si>
  <si>
    <t>Numer wniosku o pożyczkę (wypełnia PF):</t>
  </si>
  <si>
    <t>Nazwa PF (siedziba / oddział w…)</t>
  </si>
  <si>
    <t>Adres PF</t>
  </si>
  <si>
    <t xml:space="preserve">E-mail PF </t>
  </si>
  <si>
    <t>Telefon kontaktowy PF</t>
  </si>
  <si>
    <r>
      <t xml:space="preserve">Program Funduszy Europejskich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</si>
  <si>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INFORMACJE DOTYCZĄCE PROPONOWANEJ DO FINANSOWANIA INWESTYCJI KOŃCOWEJ OZE</t>
  </si>
  <si>
    <t>1. Wnioskodawca - Nazwa (Imię Nazwisko / Nazwa firmy)</t>
  </si>
  <si>
    <t>PESEL / NIP</t>
  </si>
  <si>
    <r>
      <t xml:space="preserve">Typ nieruchomości </t>
    </r>
    <r>
      <rPr>
        <b/>
        <sz val="11"/>
        <color rgb="FFFF0000"/>
        <rFont val="Arial Narrow"/>
        <family val="2"/>
        <charset val="238"/>
      </rPr>
      <t xml:space="preserve"> (wybór z listy / rozwijalne menu ):</t>
    </r>
  </si>
  <si>
    <r>
      <t xml:space="preserve">Tytuł prawny do nieruchomości 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</si>
  <si>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NAJEM</t>
  </si>
  <si>
    <t>DZIERŻAWA</t>
  </si>
  <si>
    <t>PRAWO WŁASNOŚCI</t>
  </si>
  <si>
    <t>WSPÓŁWŁASNOŚĆ</t>
  </si>
  <si>
    <t>PRAWO UŻYTKOWANIA WIECZYSTEGO</t>
  </si>
  <si>
    <r>
      <t>Wnioskodawca posiada księgę wieczystą? (</t>
    </r>
    <r>
      <rPr>
        <b/>
        <sz val="11"/>
        <color rgb="FFFF0000"/>
        <rFont val="Arial Narrow"/>
        <family val="2"/>
        <charset val="238"/>
      </rPr>
      <t>TAK/NIE) -  (wybór z listy / rozwijalne menu ):</t>
    </r>
  </si>
  <si>
    <t>Planowana data rozpoczęcia Inwestycji (dd/mm/rrrr):</t>
  </si>
  <si>
    <t>Planowana data zakończenia inwestycji (dd/mm/rrrr):</t>
  </si>
  <si>
    <t>Planowana data przekazania inwestycji do eksploatacji (dd/mm/rrrr):</t>
  </si>
  <si>
    <t>Rodzaj instalacji</t>
  </si>
  <si>
    <t>Biomasa</t>
  </si>
  <si>
    <t>(przykładowy)</t>
  </si>
  <si>
    <t>Operator Systemu Dystrybucyjnego</t>
  </si>
  <si>
    <t>NOWY BUDYNEK</t>
  </si>
  <si>
    <t>MODERNIZOWANY BUDYNEK</t>
  </si>
  <si>
    <t>PRODUCENT MAGAZYNU + MODEL, TYP</t>
  </si>
  <si>
    <t>Nowe źródło ciepła</t>
  </si>
  <si>
    <t>UWAGA!</t>
  </si>
  <si>
    <t>ZAKOŃCZENIE INWESTYCJI KOŃCOWEJ OZE MUSI NASTĄPIĆ WRAZ Z ROZLICZENIEM WYDATKOWANIA ŚRODKÓW Z POŻYCZKI</t>
  </si>
  <si>
    <t>WKŁAD WŁASNY</t>
  </si>
  <si>
    <t>SUMA</t>
  </si>
  <si>
    <t>Termin wydatkowania</t>
  </si>
  <si>
    <t>Lp.</t>
  </si>
  <si>
    <t>POŻYCZKA</t>
  </si>
  <si>
    <t>CZĘŚĆ ZWROTNA</t>
  </si>
  <si>
    <t>ŚRODKI WŁASNE</t>
  </si>
  <si>
    <t>Suma wydatków</t>
  </si>
  <si>
    <t>Magazyn energii</t>
  </si>
  <si>
    <t>Pompa ciepła</t>
  </si>
  <si>
    <t>Inne</t>
  </si>
  <si>
    <t>(…)</t>
  </si>
  <si>
    <t>EFEKT  OSIĄGNIĘTY PO ZAKOŃCZENIU REALIZACJI INWESTYCJI KOŃCOWEJ OZE</t>
  </si>
  <si>
    <t>OBNIŻENIE EMISJI CO2</t>
  </si>
  <si>
    <t>WZROST WYKORZYSTANIA ODNAWIALNYCH ŹRÓDEŁ ENERGII</t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</si>
  <si>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ELEKTRYCZNEJ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</si>
  <si>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CIEPLNEJ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</si>
  <si>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ILOŚĆ WYTWORZONEJ ENERGII ELEKTRYCZNEJ ZE ŹRÓDEŁ OZE [MWh/rok] </t>
    </r>
    <r>
      <rPr>
        <i/>
        <sz val="11"/>
        <color rgb="FF000000"/>
        <rFont val="Arial Narrow"/>
        <family val="2"/>
        <charset val="238"/>
      </rPr>
      <t>(jeżeli dotyczy)</t>
    </r>
  </si>
  <si>
    <r>
      <t>ILOŚĆ WYTWORZONEJ ENERGII CIEPLNEJ ZE ŹRÓDEŁ OZE [MWh/rok]</t>
    </r>
    <r>
      <rPr>
        <i/>
        <sz val="11"/>
        <color rgb="FF000000"/>
        <rFont val="Arial Narrow"/>
        <family val="2"/>
        <charset val="238"/>
      </rPr>
      <t xml:space="preserve"> (jeżeli dotyczy)</t>
    </r>
  </si>
  <si>
    <t>DODATKOWA MOC ZAINSTALOWANA ODNAWIALNYCH ŹRÓDEŁ ENERGII [MW]</t>
  </si>
  <si>
    <t>OCENA KOSZTÓW INSTALACJI FOTOWOLTAICZNEJ (jeżeli dotyczy)</t>
  </si>
  <si>
    <t>Koszt instalacji OO (1 kWp)</t>
  </si>
  <si>
    <t>Stawka rynkowa (1 kWp)</t>
  </si>
  <si>
    <t>% stawki rynkowej</t>
  </si>
  <si>
    <t>OCENA KOSZTÓW POMPY CIEPŁA (jeżeli dotyczy)</t>
  </si>
  <si>
    <t>OCENA KOSZTÓW POJEMNOŚCI MAGAZYNU ENERGII (jeżeli dotyczy)</t>
  </si>
  <si>
    <t>Koszt instalacji OO (1 kWh)</t>
  </si>
  <si>
    <t>Stawka rynkowa (1 kWh)</t>
  </si>
  <si>
    <t>ANALIZA EFEKTYWNOŚCI FINANSOWEJ INWESTYCJI KOŃCOWEJ OZE</t>
  </si>
  <si>
    <t>DANE WYJŚCIOWE</t>
  </si>
  <si>
    <t>OPIS</t>
  </si>
  <si>
    <t>Okres</t>
  </si>
  <si>
    <t>w latach</t>
  </si>
  <si>
    <t>Okres spłaty pożyczki</t>
  </si>
  <si>
    <t>NIK</t>
  </si>
  <si>
    <t>zł</t>
  </si>
  <si>
    <t>NIN</t>
  </si>
  <si>
    <t>NI</t>
  </si>
  <si>
    <t xml:space="preserve">KB </t>
  </si>
  <si>
    <t>zł/rok</t>
  </si>
  <si>
    <t>Koszty bazowe</t>
  </si>
  <si>
    <t xml:space="preserve">KR </t>
  </si>
  <si>
    <t>Koszty po realizacji inwestycji</t>
  </si>
  <si>
    <t>PW</t>
  </si>
  <si>
    <t>Przychód z wytwarzania energii/ciepła (Koszty uniknięte)</t>
  </si>
  <si>
    <t>OR</t>
  </si>
  <si>
    <t>Oszczędności Roczne (OR= KB-KR+PW)</t>
  </si>
  <si>
    <t>OPŁACALNOŚĆ FINANSOWA INWESTYCJI KOŃCOWEJ OZE</t>
  </si>
  <si>
    <t>SPBT – OKRES ZWROTU</t>
  </si>
  <si>
    <t>lat</t>
  </si>
  <si>
    <t>DLA MIKROINSTALACJI PROSUMENCKIEJ (O ILE DOTYCZY)</t>
  </si>
  <si>
    <t>ZE – ZUŻYCIE ENERGII</t>
  </si>
  <si>
    <t>MWh/rok</t>
  </si>
  <si>
    <t xml:space="preserve">Roczne zużycie energii elektrycznej </t>
  </si>
  <si>
    <t>zł/MWh</t>
  </si>
  <si>
    <t>kW</t>
  </si>
  <si>
    <t xml:space="preserve">Moc przyłączeniowa obiektu </t>
  </si>
  <si>
    <t>DLA MIKROINSTALACJI GENERUJĄCEJ CZĘŚCIOWO ENERGIĘ NA SPRZEDAŻ (O ILE DOTYCZY)</t>
  </si>
  <si>
    <t xml:space="preserve">PE </t>
  </si>
  <si>
    <t xml:space="preserve">Przewidywana roczna produkcja energii elektrycznej </t>
  </si>
  <si>
    <t>DLA WYTWARZANIA CIEPŁA - POMPA CIEPŁA, KOLEKTOR SŁONECZNY, KOCIOŁ NA BIOMASĘ (O ILE DOTYCZY)</t>
  </si>
  <si>
    <t xml:space="preserve">M </t>
  </si>
  <si>
    <t xml:space="preserve">kW </t>
  </si>
  <si>
    <t xml:space="preserve">Moc pomp (-y) ciepła lub kotła na biomasę </t>
  </si>
  <si>
    <t>t/m3</t>
  </si>
  <si>
    <t xml:space="preserve">Bazowa ilość paliwa zużywanego rocznie </t>
  </si>
  <si>
    <t xml:space="preserve">WSKAŹNIKI EFEKTYWNOŚCI KOSZTOWEJ PROJEKTU </t>
  </si>
  <si>
    <t xml:space="preserve">NI/M </t>
  </si>
  <si>
    <t xml:space="preserve">zł/kW </t>
  </si>
  <si>
    <t xml:space="preserve">Nakłady jednostkowe na jednostkę mocy </t>
  </si>
  <si>
    <t xml:space="preserve">NI/E </t>
  </si>
  <si>
    <t xml:space="preserve">Nakłady jednostkowe na jednostkę unikniętej emisji </t>
  </si>
  <si>
    <r>
      <t xml:space="preserve">Numer Wniosku o pożyczkę </t>
    </r>
    <r>
      <rPr>
        <sz val="10"/>
        <color theme="1"/>
        <rFont val="Calibri"/>
        <family val="2"/>
        <charset val="238"/>
      </rPr>
      <t>(wypełnia Weryfikator)</t>
    </r>
    <r>
      <rPr>
        <b/>
        <sz val="10"/>
        <color theme="1"/>
        <rFont val="Calibri"/>
        <family val="2"/>
        <charset val="238"/>
      </rPr>
      <t xml:space="preserve"> </t>
    </r>
  </si>
  <si>
    <t>zaciaga z pierwszego arkusza    xxx/OF/2025</t>
  </si>
  <si>
    <t xml:space="preserve">KARTA WERYFIKACJI PROJEKTU: WYKORZYSTANIE ENERGII ZE ŹRÓDEŁ ODNAWIALNYCH </t>
  </si>
  <si>
    <t>WOJEWÓDZTWO :</t>
  </si>
  <si>
    <t>Pożyczka OZE dla mieszkańców</t>
  </si>
  <si>
    <r>
      <t>Po zakończeniu postępowania weryfikacyjnego stwierdzam, iż Analiza Wykonalności dla projektu</t>
    </r>
    <r>
      <rPr>
        <b/>
        <sz val="10"/>
        <color theme="1"/>
        <rFont val="Calibri"/>
        <family val="2"/>
        <charset val="238"/>
      </rPr>
      <t xml:space="preserve">: </t>
    </r>
  </si>
  <si>
    <t xml:space="preserve">Zakup i montaż instalacji fotowoltaicznej o mocy xxx kWp wraz z magazynem energii o pojemności yyy kWh + Pompa ciepła zzz kW </t>
  </si>
  <si>
    <r>
      <t>dla Wnioskodawcy:</t>
    </r>
    <r>
      <rPr>
        <b/>
        <sz val="10"/>
        <color theme="1"/>
        <rFont val="Calibri"/>
        <family val="2"/>
        <charset val="238"/>
      </rPr>
      <t xml:space="preserve"> </t>
    </r>
  </si>
  <si>
    <t>JAN KOWALSKI</t>
  </si>
  <si>
    <t>(nazwa Projektu, nazwa Wnioskodawcy)</t>
  </si>
  <si>
    <t xml:space="preserve"> </t>
  </si>
  <si>
    <t>została zweryfikowana:</t>
  </si>
  <si>
    <r>
      <t xml:space="preserve">x  </t>
    </r>
    <r>
      <rPr>
        <b/>
        <sz val="10"/>
        <color theme="1"/>
        <rFont val="Calibri"/>
        <family val="2"/>
        <charset val="238"/>
      </rPr>
      <t>pozytywnie;</t>
    </r>
    <r>
      <rPr>
        <sz val="10"/>
        <color theme="1"/>
        <rFont val="Calibri"/>
        <family val="2"/>
        <charset val="238"/>
      </rPr>
      <t xml:space="preserve">  </t>
    </r>
  </si>
  <si>
    <t xml:space="preserve">x  warunkowo z uwagami;  </t>
  </si>
  <si>
    <t>□  negatywnie; uzasadnienie: ……………………………………………………………………………………………………………………</t>
  </si>
  <si>
    <t xml:space="preserve">EFEKT EKOLOGICZNY </t>
  </si>
  <si>
    <t xml:space="preserve">MWh/rok </t>
  </si>
  <si>
    <t xml:space="preserve">We </t>
  </si>
  <si>
    <t xml:space="preserve">kg/MWh </t>
  </si>
  <si>
    <t xml:space="preserve">Wskaźnik emisji </t>
  </si>
  <si>
    <t xml:space="preserve">E </t>
  </si>
  <si>
    <t xml:space="preserve">B </t>
  </si>
  <si>
    <t xml:space="preserve">Wp </t>
  </si>
  <si>
    <t xml:space="preserve">Emisja po realizacji projektu </t>
  </si>
  <si>
    <t>DZIŚ</t>
  </si>
  <si>
    <t>Oznaczenie TAK / NIE</t>
  </si>
  <si>
    <t>Rodzaj programu</t>
  </si>
  <si>
    <t>Rodzaj pożyczki</t>
  </si>
  <si>
    <t>☒ TAK</t>
  </si>
  <si>
    <t>Fundusze Europejskie dla Województwa Dolnośląskiego, Działanie 2.5 Instrumenty finansowe na OZE</t>
  </si>
  <si>
    <t>Pożyczka na OZE dla przedsiębiorstw</t>
  </si>
  <si>
    <t>☒ NIE</t>
  </si>
  <si>
    <t>Fundusze Europejskie dla Województwa Lubuskiego, Działanie 2.4 Odnawialne źródła energii – instrumenty zwrotne</t>
  </si>
  <si>
    <t>Pożyczka na OZE</t>
  </si>
  <si>
    <t>Fundusze Europejskie dla Województwa Łódzkiego, Działanie 2.7 Odnawialne źródła energii – IF</t>
  </si>
  <si>
    <t>Pożyczka na rozwój OZE w przedsiębiorstwach</t>
  </si>
  <si>
    <t>Fundusze Europejskie dla Województwa Lubelskiego, Działanie 4.7 Zwiększenie wykorzystania Odnawialnych Źródeł Energii</t>
  </si>
  <si>
    <t>Pożyczka na OZE w przedsiębiorstwach z dotacją w formie umorzenia</t>
  </si>
  <si>
    <t>Pożyczka na OZE z dotacją w formie umorzenia</t>
  </si>
  <si>
    <t>PGE Dystrybucja S.A.</t>
  </si>
  <si>
    <t>Pożyczka na Wspieranie Odnawialnych Źródeł Energii (OZE II)</t>
  </si>
  <si>
    <t>TAURON Dystrybucja S.A.</t>
  </si>
  <si>
    <t>Fundusze Europejskie dla Województwa Lubelskiego, Działanie 4.10 Wykorzystanie OZE w gospodarce</t>
  </si>
  <si>
    <t>ENEA Operator Sp. z o.o.</t>
  </si>
  <si>
    <t>Fundusze Europejskie dla Województwa Mazowieckiego, Działanie 2.3 Pożyczka na OZE dla RWS - Odnawialne źródła energii</t>
  </si>
  <si>
    <t>ENERGA-Operator SA</t>
  </si>
  <si>
    <t>Fundusze Europejskie dla Województwa Mazowieckiego, Działanie 2.3 Pożyczki na OZE dla RMR - Odnawialne źródła energii</t>
  </si>
  <si>
    <t>Pożyczka OZE w gospodarce (OZE III)</t>
  </si>
  <si>
    <t>Stoen Operator Sp. z o.o.</t>
  </si>
  <si>
    <t>Fundusze Europejskie dla Województwa Małopolskiego, Działanie 2.8 Wsparcie rozwoju OZE - Instrumenty finansowe</t>
  </si>
  <si>
    <t>Pożyczka na OZE dla przedsiębiorstw w RWS</t>
  </si>
  <si>
    <t>Inny</t>
  </si>
  <si>
    <t>Fundusze Europejskie dla Województwa Małopolskiego, Działanie 2.22 Wsparcie rozwoju OZE - ZIT, IIT - Instrumenty finansowe</t>
  </si>
  <si>
    <t>Pożyczka na OZE dla podmiotów innych niż przedsiębiorstwa w RWS</t>
  </si>
  <si>
    <t>Fundusze Europejskie dla Województwa Opolskiego, Działanie 2.7 Instrumenty finansowe w obszarze środowiska</t>
  </si>
  <si>
    <t>Pożyczka na OZE dla podmiotów innych niż przedsiębiorstwa w RMR</t>
  </si>
  <si>
    <t>Fundusze Europejskie dla Województwa Podlaskiego, Działanie 2.5 Pożyczki na energię odnawialną</t>
  </si>
  <si>
    <t>Pożyczka na OZE dla przedsiębiorstw w RMR</t>
  </si>
  <si>
    <t>Fundusze Europejskie dla Województwa Podkarpackiego, Działanie 2.4 Odnawialne źródła energii – IF</t>
  </si>
  <si>
    <t>Pożyczka na OZE dla mieszkańców</t>
  </si>
  <si>
    <t>Fundusze Europejskie dla Województwa Zachodniopomorskiego, Działanie 2.9 Wsparcie rozwoju OZE poprzez instrumenty finansowe</t>
  </si>
  <si>
    <t>Fundusze Europejskie dla Województwa Świętokrzyskiego, Działanie 2.4 Zielona energia – IF</t>
  </si>
  <si>
    <t>Fundusze Europejskie dla Województwa Warmińsko-Mazurskiego, Działanie 2.6 Odnawialne źródła energii IF</t>
  </si>
  <si>
    <t>Pożyczka na OZE - ZIT</t>
  </si>
  <si>
    <t>Fundusze Europejskie dla Województwa Wielkopolskiego, Działanie 2.4 Rozwój energii odnawialnej (OZE) - Instrumenty Finansowe</t>
  </si>
  <si>
    <t>Pożyczka dla MŚP - OZE i energetyka</t>
  </si>
  <si>
    <t>Pożyczka na Energię Odnawialną</t>
  </si>
  <si>
    <t>Pożyczka na OZE dla MŚP</t>
  </si>
  <si>
    <t>Pożyczka na Odnawialne Źródła Energii (OZE) dla podmiotów innych niż MŚP</t>
  </si>
  <si>
    <t>Pożyczka OZE z premią dla przedsiębiorstw</t>
  </si>
  <si>
    <t>Pożyczka OZE z premią dla JST</t>
  </si>
  <si>
    <t>Pożyczka na wsparcie producentów instalacji i urządzeń do wytwarzania energii z OZE oraz podzespołów do tych urządzeń</t>
  </si>
  <si>
    <t>Fundusze Europejskie dla Województwa Świętokrzystkiego, Działanie 2.4 Zielona energia – IF</t>
  </si>
  <si>
    <t>Pożyczka OZE z premią dla MŚP</t>
  </si>
  <si>
    <t>Pożyczka OZE z premią</t>
  </si>
  <si>
    <t>Pożyczka OZE dla przedsiębiorstw</t>
  </si>
  <si>
    <t>Pożyczka OZE z dotacją w formie umorzenia</t>
  </si>
  <si>
    <t>Instalacja fotowoltaiczna</t>
  </si>
  <si>
    <t>Min</t>
  </si>
  <si>
    <t>Maks</t>
  </si>
  <si>
    <t>Wartość</t>
  </si>
  <si>
    <t>Źródła ciepła</t>
  </si>
  <si>
    <t>Węgiel</t>
  </si>
  <si>
    <t>Gaz</t>
  </si>
  <si>
    <t>Ekogroszek</t>
  </si>
  <si>
    <t>2. Lokalizacja planowanej Inwestycji</t>
  </si>
  <si>
    <t>Tytuł prawny do nieruchomości</t>
  </si>
  <si>
    <t>Typ nieruchomości</t>
  </si>
  <si>
    <t>Wolnostojący</t>
  </si>
  <si>
    <t>Bliźniak</t>
  </si>
  <si>
    <t>Szeregowy</t>
  </si>
  <si>
    <t>Zabudowa grupowa</t>
  </si>
  <si>
    <t>INSTALACJA PV (nowa)</t>
  </si>
  <si>
    <t>Rodzaj instalacji - ciepło</t>
  </si>
  <si>
    <t>Kolektor słoneczny</t>
  </si>
  <si>
    <t>KOSZT INSTALACJI PV [PLN]</t>
  </si>
  <si>
    <t>KOSZT MAGAZYNU [PLN]</t>
  </si>
  <si>
    <t>Data zakończenia inwestycji</t>
  </si>
  <si>
    <r>
      <t xml:space="preserve">Rodzaj pożyczki </t>
    </r>
    <r>
      <rPr>
        <b/>
        <sz val="11"/>
        <color rgb="FFFF0000"/>
        <rFont val="Arial Narrow"/>
        <family val="2"/>
        <charset val="238"/>
      </rPr>
      <t>(wybór z listy / rozwijalne menu )</t>
    </r>
    <r>
      <rPr>
        <b/>
        <sz val="11"/>
        <color rgb="FF000000"/>
        <rFont val="Arial Narrow"/>
        <family val="2"/>
        <charset val="238"/>
      </rPr>
      <t>:</t>
    </r>
  </si>
  <si>
    <t>Data</t>
  </si>
  <si>
    <t>DD/MM/RRRR</t>
  </si>
  <si>
    <t xml:space="preserve">WARTOŚCI </t>
  </si>
  <si>
    <t>Okres spłaty pożyczki [lata]</t>
  </si>
  <si>
    <t>Roczne koszty serwisu [PLN]</t>
  </si>
  <si>
    <t xml:space="preserve">Cena średnia zakupu energii elektrycznej (do obliczeń przyjęto 1,15 PLN / kW) </t>
  </si>
  <si>
    <t>Koszty bazowe (dla modernizacji ogrzewania)</t>
  </si>
  <si>
    <t>dla kotła na biomasę - rodzaj planowanego paliwa</t>
  </si>
  <si>
    <t>rodzaj paliwa zużywanego obecnie na cele grzewcze i/lub c.w.u.:</t>
  </si>
  <si>
    <t>RODZAJ PALIWA</t>
  </si>
  <si>
    <t>WO MJ/kg</t>
  </si>
  <si>
    <t>WE CO2 kg/GJ</t>
  </si>
  <si>
    <t>Zapotrzebowanie na ciepło - Roczny koszt paliwa [PLN]</t>
  </si>
  <si>
    <t>Szacowane roczne zapotrzebowanie na energię elektryczną [MWh]</t>
  </si>
  <si>
    <t>MOC MAGAZYNU [kW]</t>
  </si>
  <si>
    <t>POJEMNOŚĆ MAGAZYNU [kWh]</t>
  </si>
  <si>
    <t>MOC INSTALACJI PV [kWp]</t>
  </si>
  <si>
    <t>MOC PRZYŁĄCZENIOWA BUDYNKU [kW]</t>
  </si>
  <si>
    <t>MOC znamionowa [kW]</t>
  </si>
  <si>
    <t xml:space="preserve">DLA ENERGII ELEKTRYCZNEJ </t>
  </si>
  <si>
    <t>DLA ENERGII CIEPLNEJ</t>
  </si>
  <si>
    <t>REDUKCJA EMISJI</t>
  </si>
  <si>
    <t>Stan po realizacji projektu</t>
  </si>
  <si>
    <r>
      <t xml:space="preserve">Nieruchomość położona na terenie obszarów Natura 2000 </t>
    </r>
    <r>
      <rPr>
        <b/>
        <sz val="11"/>
        <color rgb="FFFF0000"/>
        <rFont val="Arial Narrow"/>
        <family val="2"/>
        <charset val="238"/>
      </rPr>
      <t xml:space="preserve"> (TAK/NIE) -  (wybór z listy / rozwijalne menu ):</t>
    </r>
  </si>
  <si>
    <t>Cena średnia sprzedaży energii elektrycznej  (do obliczeń przyjęto dane zgodne z komunikatem URE za IV kw. 2025)</t>
  </si>
  <si>
    <t>Zapotrzebowanie na ciepło - główny rodzaj paliwa</t>
  </si>
  <si>
    <t>Zużycie paliwa</t>
  </si>
  <si>
    <t>Czy pojemność magazynu energii wynosi nie więcej niż
dwukrotna moc zainstalowana w nowych/budowanych źródłach odnawialnych?</t>
  </si>
  <si>
    <t>Czy w analizowanym przypadku nastąpi zsumowanie mocy zainstalowanej magazynu z mocą sumaryczną zainstalowanego w mikroinstalacji źródła OZE?</t>
  </si>
  <si>
    <t>CZĘŚĆ BEZZWROTNA  - DOTACJA</t>
  </si>
  <si>
    <t>ŁĄCZNA WARTOŚĆ NAKŁADÓW INWESTYCYJNYCH (NI) NA INWESTYCJĘ KOŃCOWĄ OZE W PLN</t>
  </si>
  <si>
    <t>Koszty niekwalifikowane (NIN) Inwestycji Końcowej OZE w PLN</t>
  </si>
  <si>
    <t>ŁĄCZNE KOSZTY KWALIFIKOWANE (NIK) INWESTYCJI KOŃCOWEJ OZE W PLN</t>
  </si>
  <si>
    <t>ŹRÓDŁA FINANSOWANIA – KWOTY W PLN</t>
  </si>
  <si>
    <t>POJEMNOŚĆ MAGAZYNÓW ENERGII ELEKTRYCZNEJ  [MWh]</t>
  </si>
  <si>
    <t/>
  </si>
  <si>
    <t>LICZBA WYBUDOWANYCH JEDNOSTEK WYTWARZANIA ENERGII ELEKTRYCZNEJ Z OZE [SZT]</t>
  </si>
  <si>
    <t>LICZBA ZMODERNIZOWANYCH JEDNOSTEK WYTWARZANIA ENERGII ELEKTRYCZNEJ Z OZE [SZT]</t>
  </si>
  <si>
    <t>LICZBA WYBUDOWANYCH JEDNOSTEK WYTWARZANIA ENERGII CIEPLNEJ Z OZE [SZT]</t>
  </si>
  <si>
    <t>LICZBA ZMODERNIZOWANYCH JEDNOSTEK WYTWARZANIA ENERGII CIEPLNEJ Z OZE [SZT]</t>
  </si>
  <si>
    <t>LICZBA POWSTAŁYCH MAGAZYNÓW ENERGII CIEPLNEJ [SZT]</t>
  </si>
  <si>
    <t>LICZBA POWSTAŁYCH MAGAZYNÓW ENERGII ELEKTRYCZNEJ [SZT]</t>
  </si>
  <si>
    <t>Adres inwestycji</t>
  </si>
  <si>
    <r>
      <t xml:space="preserve">MOC FALOWNIKA [kW]
</t>
    </r>
    <r>
      <rPr>
        <b/>
        <sz val="11"/>
        <color rgb="FFFF0000"/>
        <rFont val="Arial Narrow"/>
        <family val="2"/>
        <charset val="238"/>
      </rPr>
      <t>Podaj moc jeśli falownik zostaje. W przypadku wymiany na nowy wprowadź wartość '0'</t>
    </r>
  </si>
  <si>
    <r>
      <t xml:space="preserve">Czy Projekt zakłada pompę ciepła?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</si>
  <si>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Projekt zakłada inne źródło?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</si>
  <si>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POJEMNOŚĆ NOWEGO MAGAZYNU [kWh]</t>
  </si>
  <si>
    <t>MOC NOWEGO MAGAZYNU [kW]</t>
  </si>
  <si>
    <t>LICZBA WYBUDOWANYCH NOWYCH JEDNOSTEK WYTWARZANIA ENERGII ELEKTRYCZNEJ Z OZE [SZT]</t>
  </si>
  <si>
    <t>Koszt pompy ciepła / nowego źródła [PLN]</t>
  </si>
  <si>
    <t>LICZBA NOWYCH MAGAZYNÓW ENERGII ELEKTRYCZNEJ [SZT]</t>
  </si>
  <si>
    <t>WE CO2 kg/MWh</t>
  </si>
  <si>
    <t>Zużycie energii elektrycznej budynku</t>
  </si>
  <si>
    <t xml:space="preserve">Produkcja energii elektrycznej 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</si>
  <si>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b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</si>
  <si>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pc</t>
    </r>
  </si>
  <si>
    <t>ROCZNA PRODUKCJA ENERGII [MWh]</t>
  </si>
  <si>
    <t>ZE</t>
  </si>
  <si>
    <t>Brakująca energia elektryczna</t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</si>
  <si>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</si>
  <si>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</si>
  <si>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EB</t>
  </si>
  <si>
    <t>Emisja bazowa sumaryczna</t>
  </si>
  <si>
    <t>Emisja bazowa energii cieplnej</t>
  </si>
  <si>
    <t>Emisja bazowa energii elektrycznej</t>
  </si>
  <si>
    <t>Ton/rok</t>
  </si>
  <si>
    <r>
      <t>Emisja bazowa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</si>
  <si>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</si>
  <si>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</si>
  <si>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Emisja po realizacji inwestycji sumaryczna</t>
  </si>
  <si>
    <t>ER</t>
  </si>
  <si>
    <t xml:space="preserve">zł/Ton CO2 </t>
  </si>
  <si>
    <t>Koszty kwalifikowane (NIK) z części harmonogramu rzeczowo-finansowego</t>
  </si>
  <si>
    <t>Koszty niekwalifikowane (NIN) z części harmonogramu rzeczowo-finansowego</t>
  </si>
  <si>
    <t>Nakłady inwestycyjne (NI) z części harmonogramu rzeczowo-finansowego</t>
  </si>
  <si>
    <t>PROGNOZOWANA ROCZNA SPRZEDAŻ WYGENEROWANEJ ENERGII [%]</t>
  </si>
  <si>
    <t>PROGNOZOWANA ROCZNA AUTOKONSUMPCJA ENERGII [%]</t>
  </si>
  <si>
    <t>Karencja [miesiące]</t>
  </si>
  <si>
    <t>Numer księgi wieczystej</t>
  </si>
  <si>
    <t>Wybór z listy</t>
  </si>
  <si>
    <t>Prognozowana roczna produkcja energii cieplnej CO + CWU [MWh]</t>
  </si>
  <si>
    <r>
      <t xml:space="preserve">Czy jest to nowy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</si>
  <si>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jest to modernizowany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</si>
  <si>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Zapotrzebowanie na ciepło - roczna ilość zużywanego paliwa [jednostka miary zgodnie z wybranym źródłem]</t>
  </si>
  <si>
    <t>W przypadku nowych budynków dla wyliczenia stanu bazowego przyjęto emisję dla: Gaz ciekły (przydomowe zbiorniki LPG tankowane z cystern)</t>
  </si>
  <si>
    <t>Stan bazowy przed realizacją inwestycji</t>
  </si>
  <si>
    <r>
      <t>Emisja po realizacji projektu 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</si>
  <si>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t>Nazwa składnika</t>
  </si>
  <si>
    <t>D</t>
  </si>
  <si>
    <t>Okres zwrotu (SPBT= NI - D/OR)</t>
  </si>
  <si>
    <t>Przychód z wytwarzania energii</t>
  </si>
  <si>
    <t>Instalacja gazowa</t>
  </si>
  <si>
    <r>
      <t xml:space="preserve">Czy dotychczasowe źródło ciepła będzie nadal wykorzystywane?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</si>
  <si>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Stare źródło ciepła</t>
  </si>
  <si>
    <t>Planowane źródło - z projektu</t>
  </si>
  <si>
    <t>Zapotrzebowanie na paliwo - główny rodzaj</t>
  </si>
  <si>
    <t>Prognozowany roczny koszt ogrzewania [PLN]</t>
  </si>
  <si>
    <t>NE</t>
  </si>
  <si>
    <t>Nadwyżka energii elektrycznej</t>
  </si>
  <si>
    <t>Uniknięta emisja - nadwyżka energii</t>
  </si>
  <si>
    <r>
      <t>UE</t>
    </r>
    <r>
      <rPr>
        <b/>
        <vertAlign val="subscript"/>
        <sz val="11"/>
        <color rgb="FF000000"/>
        <rFont val="Arial Narrow"/>
        <family val="2"/>
        <charset val="238"/>
      </rPr>
      <t>NE</t>
    </r>
  </si>
  <si>
    <r>
      <t>Gaz ziemny (z sieci)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</si>
  <si>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ciekły (przydomowe zbiorniki LPG tankowane z cystern)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</si>
  <si>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Wegiel kamienny [ton/rok]</t>
  </si>
  <si>
    <t>Wegiel brunatny [ton/rok]</t>
  </si>
  <si>
    <t>Pellet [ton/rok]</t>
  </si>
  <si>
    <r>
      <t>Drewno opalowe i odpady pochodzenia drzewnego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</rPr>
      <t>/rok]</t>
    </r>
  </si>
  <si>
    <r>
      <t>Biogaz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</si>
  <si>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Brykiety wegla kamiennego [ton/rok]</t>
  </si>
  <si>
    <t>Brykiety wegla brunatnego [ton/rok]</t>
  </si>
  <si>
    <t>Koks naftowy [ton/rok]</t>
  </si>
  <si>
    <t>Koks i półkoks (w tym gazowy) [ton/rok]</t>
  </si>
  <si>
    <r>
      <t>Oleje napedowe (w tym olej opalowy lekki)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</si>
  <si>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Ropa naftowa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</si>
  <si>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lotnicze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</si>
  <si>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silnikowe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</si>
  <si>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koksowniczy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</si>
  <si>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rafineryjny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</si>
  <si>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wielkopiecowy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</si>
  <si>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Inne produkty naftowe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</si>
  <si>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Odpady komunalne – biogeniczne [ton/rok]</t>
  </si>
  <si>
    <t>Odpady komunalne – niebiogeniczne [ton/rok]</t>
  </si>
  <si>
    <t>Odpady przemyslowe [ton/rok]</t>
  </si>
  <si>
    <r>
      <t>Paliwa odrzutowe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</si>
  <si>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Półprodukty z przerobu ropy naftowej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</si>
  <si>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(poniżej przykładowe pozycje kosztów)</t>
  </si>
  <si>
    <t>WYSZCZEGÓLNIENIE PLANOWANYCH WYDATKÓW W RAMACH INWESTYCJI KOŃCOWEJ OZE</t>
  </si>
  <si>
    <t>Razem planowane wydatki</t>
  </si>
  <si>
    <t>BANK GOSPODARSTWA KRAJOWEGO</t>
  </si>
  <si>
    <t>Obieg dokumentu</t>
  </si>
  <si>
    <t>Techniczny</t>
  </si>
  <si>
    <t>Finansowy</t>
  </si>
  <si>
    <t>Ekologiczny</t>
  </si>
  <si>
    <t>Efektywność kosztowa</t>
  </si>
  <si>
    <r>
      <t>Jednostka:</t>
    </r>
    <r>
      <rPr>
        <sz val="12"/>
        <color theme="1"/>
        <rFont val="Aptos Display"/>
        <family val="2"/>
        <scheme val="major"/>
      </rPr>
      <t xml:space="preserve"> Departament Instrumentów Finansowych (DIF)</t>
    </r>
  </si>
  <si>
    <t>Uwaga: Zmiana formuł lub struktury arkuszy jest niedopuszczalna.</t>
  </si>
  <si>
    <t>* dobór mocy instalacji</t>
  </si>
  <si>
    <t>* parametry urządzeń</t>
  </si>
  <si>
    <t>* zgodność z warunkami przyłączeniowymi</t>
  </si>
  <si>
    <t>* struktura kosztów</t>
  </si>
  <si>
    <t>* koszty kwalifikowane i niekwalifikowane</t>
  </si>
  <si>
    <t>* przychody i oszczędności</t>
  </si>
  <si>
    <t>* okres zwrotu inwestycji</t>
  </si>
  <si>
    <t>* emisja przed inwestycją</t>
  </si>
  <si>
    <t>* emisja po inwestycji</t>
  </si>
  <si>
    <t>* redukcja emisji CO₂</t>
  </si>
  <si>
    <t>* koszty jednostkowe</t>
  </si>
  <si>
    <t>* odniesienie do stawek rynkowych</t>
  </si>
  <si>
    <t xml:space="preserve">weryfikatorzy_dif@bgk.pl </t>
  </si>
  <si>
    <t>Data i podpis</t>
  </si>
  <si>
    <t xml:space="preserve">BANK GOSPODARSTWA KRAJOWEGO 
OZE - ANALIZA WYKONALNOŚCI 
DLA MIKROINSTALACJI O MOCY DO 50 KW </t>
  </si>
  <si>
    <r>
      <t xml:space="preserve">Informacja dla użytkownika
</t>
    </r>
    <r>
      <rPr>
        <sz val="12"/>
        <color theme="1"/>
        <rFont val="Aptos Display"/>
        <family val="2"/>
        <scheme val="major"/>
      </rPr>
      <t xml:space="preserve">Do poprawnego wyliczenia wartości poszczególnych parametrów 
należy wypełnić dwie zakładki: </t>
    </r>
    <r>
      <rPr>
        <b/>
        <sz val="12"/>
        <color theme="1"/>
        <rFont val="Aptos Display"/>
        <family val="2"/>
        <scheme val="major"/>
      </rPr>
      <t xml:space="preserve">„Formularz” </t>
    </r>
    <r>
      <rPr>
        <sz val="12"/>
        <color theme="1"/>
        <rFont val="Aptos Display"/>
        <family val="2"/>
        <scheme val="major"/>
      </rPr>
      <t xml:space="preserve">oraz </t>
    </r>
    <r>
      <rPr>
        <b/>
        <sz val="12"/>
        <color theme="1"/>
        <rFont val="Aptos Display"/>
        <family val="2"/>
        <scheme val="major"/>
      </rPr>
      <t>„Harmonogram rzecz-finanso”.</t>
    </r>
    <r>
      <rPr>
        <sz val="12"/>
        <color theme="1"/>
        <rFont val="Aptos Display"/>
        <family val="2"/>
        <scheme val="major"/>
      </rPr>
      <t xml:space="preserve">
Pozostałe zakładki uzupełniają się automatycznie na podstawie wprowadzonych danych.
Jeśli w wymaganych polach brakuje informacji, w odpowiednich miejscach pojawi się komunikat wskazujący, że dane należy uzupełnić w formularzu.
</t>
    </r>
    <r>
      <rPr>
        <b/>
        <sz val="12"/>
        <color theme="1"/>
        <rFont val="Aptos Display"/>
        <family val="2"/>
        <scheme val="major"/>
      </rPr>
      <t xml:space="preserve">
Uzupełniony plik należy dołączyć w wersji edytowalnej do wniosku o pożyczkę.
</t>
    </r>
  </si>
  <si>
    <t>ANALIZA WYKONALNOŚCI DLA MIKROINSTALACJI O MOCY DO 50 KW- jako plik Excela z automatycznym wyliczaniem wskaźników</t>
  </si>
  <si>
    <t>Wszelkie uwagi i komentarze do pliku analizy wykonalności należy przesyłać na adres:</t>
  </si>
  <si>
    <t>Plik podlega ciągłemu doskonaleniu i aktualizacji w odpowiedzi na zmiany regulacyjne, warunki rynkowe oraz doświadczenia wynikające z procesu weryfikacji projektów.</t>
  </si>
  <si>
    <t>Prognozowane roczne zużycie energii [MWh]</t>
  </si>
  <si>
    <t>Wybór z listy – po wybraniu: Program Funduszy Europejskich</t>
  </si>
  <si>
    <r>
      <t xml:space="preserve">3. </t>
    </r>
    <r>
      <rPr>
        <b/>
        <sz val="11"/>
        <color rgb="FF000000"/>
        <rFont val="Arial Narrow"/>
        <family val="2"/>
        <charset val="238"/>
      </rPr>
      <t>STAN BAZOWY</t>
    </r>
    <r>
      <rPr>
        <b/>
        <sz val="11"/>
        <color theme="1"/>
        <rFont val="Arial Narrow"/>
        <family val="2"/>
        <charset val="238"/>
      </rPr>
      <t xml:space="preserve"> PRZED INWESTYCJĄ</t>
    </r>
  </si>
  <si>
    <r>
      <t xml:space="preserve">4. </t>
    </r>
    <r>
      <rPr>
        <b/>
        <sz val="11"/>
        <color rgb="FF000000"/>
        <rFont val="Arial Narrow"/>
        <family val="2"/>
        <charset val="238"/>
      </rPr>
      <t>STAN PO REALIZACJI INWESTYCJI</t>
    </r>
  </si>
  <si>
    <t xml:space="preserve"> j.m./rok </t>
  </si>
  <si>
    <t>kg/j.m.</t>
  </si>
  <si>
    <t xml:space="preserve"> j.m./rok</t>
  </si>
  <si>
    <t>KOMUNIKACJA I ROZWÓJ NARZĘDZIA</t>
  </si>
  <si>
    <t>* Analiza Wykonalności stanowi obowiązkowy załącznik do wniosku o pożyczkę</t>
  </si>
  <si>
    <t>ZAKRES ANALIZY PROJEKTU</t>
  </si>
  <si>
    <t>Szacowane roczne zapotrzebowanie na ciepło CO + CWU - z projektu [MWh]</t>
  </si>
  <si>
    <t>Prognozowane roczne zużycie paliwa [jednostka miary zgodnie z wybranym źródłem/rok]</t>
  </si>
  <si>
    <t>miesiąc i rok
[ mm/rrrr ]</t>
  </si>
  <si>
    <r>
      <t xml:space="preserve">Czy będzie instalacja nowej PV?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</si>
  <si>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zakup nowego magazynu energii?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</si>
  <si>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instalacja nowego źródła ciepła?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</si>
  <si>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t>Całkowite roczne zużycie energii elektrycznej wynikające z faktur lub szacowana wartość zapotrzebowania [MWh]</t>
  </si>
  <si>
    <t>Roczne zużycie energii elektrycznej bez uwzględnienia pompy ciepła [MWh]</t>
  </si>
  <si>
    <t>Zapotrzebowanie na ciepło - główny rodzaj instalacji</t>
  </si>
  <si>
    <t>Kotły na paliwa stałe</t>
  </si>
  <si>
    <t>Kominek</t>
  </si>
  <si>
    <t>Rodzaj instalacji - stare źródło ciepło</t>
  </si>
  <si>
    <t>MAGAZYN ENERGII (nowy)</t>
  </si>
  <si>
    <t>Redukcja emisji (emisja uniknięta) sumaryczna</t>
  </si>
  <si>
    <r>
      <t>Emisja uniknięta E = EB - ER + UE</t>
    </r>
    <r>
      <rPr>
        <vertAlign val="subscript"/>
        <sz val="11"/>
        <color rgb="FF000000"/>
        <rFont val="Arial Narrow"/>
        <family val="2"/>
        <charset val="238"/>
      </rPr>
      <t>NE</t>
    </r>
  </si>
  <si>
    <t>Zużycie energii elektrycznej nowa pompa ciepła</t>
  </si>
  <si>
    <t>System rozliczeń</t>
  </si>
  <si>
    <t>Net-billing</t>
  </si>
  <si>
    <r>
      <t xml:space="preserve">Czy aktualnie zainstalowane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</si>
  <si>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AKTUALNIE ZAINSTALOWANE PV:</t>
  </si>
  <si>
    <r>
      <t xml:space="preserve">Czy planowany jest częściowy demontaż dotychczasowej instalacji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</si>
  <si>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W przypadku demontażu wskaż wartość mocy demontowanej [kWp]</t>
  </si>
  <si>
    <t>Koszt instalacji OO (1 kW)</t>
  </si>
  <si>
    <r>
      <t xml:space="preserve">Pompa ciepła - Roczne zużycie energii elektrycznej wynikające z faktur lub rzeczywisty odczyt z aplikacji / pamięci pompy ciepła [MWh] </t>
    </r>
    <r>
      <rPr>
        <b/>
        <sz val="11"/>
        <color rgb="FFFF0000"/>
        <rFont val="Arial Narrow"/>
        <family val="2"/>
        <charset val="238"/>
      </rPr>
      <t>(w przypadku braku pompy ciepła należy wskazać 0)</t>
    </r>
  </si>
  <si>
    <t>Prognozowane roczne zużycie energii wg SCOP</t>
  </si>
  <si>
    <t>Stawka rynkowa (1 kW)</t>
  </si>
  <si>
    <t>Współczynnik efektywności SCOP z karty katalogowej urządzenia</t>
  </si>
  <si>
    <t>OSZCZĘDNOŚĆ ENERGII ELEKTRYCZNEJ POZYSKIWANEJ Z SIECI</t>
  </si>
  <si>
    <t>Wyprodukowana energia cieplna z jednej jednostki paliwa</t>
  </si>
  <si>
    <t>Cena średnia sprzedaży energii elektrycznej 1 MWh</t>
  </si>
  <si>
    <t>SYSTEM ROZLICZEŃ [Net-metering (opusty) / Net-billing]</t>
  </si>
  <si>
    <t xml:space="preserve">Kotły na paliwa stałe </t>
  </si>
  <si>
    <t>Prognozowane roczne zużycie po modernizacji [% pierwotnego zużycia]</t>
  </si>
  <si>
    <r>
      <t xml:space="preserve">5. </t>
    </r>
    <r>
      <rPr>
        <b/>
        <sz val="11"/>
        <color rgb="FF000000"/>
        <rFont val="Arial Narrow"/>
        <family val="2"/>
        <charset val="238"/>
      </rPr>
      <t>OŚWIADCZENIA</t>
    </r>
  </si>
  <si>
    <t xml:space="preserve">Projekt dotyczący produkcji i wykorzystania biomasy lub biogazu oraz jego dystrybucji nie stoi w sprzeczności z właściwym programem ochrony powietrza” Projekt dotyczący wykorzystania biomasy oraz produkcji biokomponentów, biopaliw i biometanu uwzględnia zasady minimalizowania ryzyka wylesiania zgodnie z Dyrektywą PE i R (UE) 2018/2001 z 11 grudnia 2018 r. w sprawie promowania energii ze źródeł odnawialnych  </t>
  </si>
  <si>
    <t>Inwestycja będzie realizowana zgodnie z odpowiednimi przepisami w zakresie ochrony środowiska związanymi z realizacją danej inwestycji</t>
  </si>
  <si>
    <t>Projekt  zakłada  montaż nowych  urządzeń,  w przypadku  instalacji wykorzystującej  do wytworzenia  energii elektrycznej  wyłącznie energię  promieniowania słonecznego wyprodukowanych  w ciągu  ostatnich  24 miesięcy poprzedzających  dzień oddania  instalacji  do użytku</t>
  </si>
  <si>
    <t>Zużycie energii elektrycznej ogółem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</si>
  <si>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O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</si>
  <si>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S</t>
    </r>
  </si>
  <si>
    <t>PROGNOZOWANA ROCZNA PRODUKCJA ENERGII Z NOWEJ INSTALACJI [MWh]</t>
  </si>
  <si>
    <t>MOC NOWEJ INSTALACJI PV [kWp]</t>
  </si>
  <si>
    <t>MOC NOWEGO FALOWNIKA [kW]</t>
  </si>
  <si>
    <t>Net-metering (opusty)</t>
  </si>
  <si>
    <t>Koszt: Szacowane zapotrzebowanie na energię elektryczną - nowy budynek (Formularz - wiersz 54)</t>
  </si>
  <si>
    <t>Koszt: Szacowane zapotrzebowanie na energię cieplną - nowy budynek (Formularz - wiersz 57)</t>
  </si>
  <si>
    <t>Zapotrzebowanie na ciepło - modernizowany budynek (Formularz - wiersz 86)</t>
  </si>
  <si>
    <t>Koszt serwisu - modernizowany budynek (Formularz - wiersz 88)</t>
  </si>
  <si>
    <t>Koszt energii elektrycznej - modernizowany budynek - bez pompy ciepła (Formularz - wiersz 74)</t>
  </si>
  <si>
    <t>Koszt energii elektrycznej - modernizowany budynek - pompa ciepła (Formularz - wiersz 71)</t>
  </si>
  <si>
    <t>Koszt zapotrzebowania na ciepło (Formularz - wiersz 151)</t>
  </si>
  <si>
    <t>Koszt zapotrzebowania na ciepło - stare źródło (Formularz - wiersz 131 * Formularz - wiersz 86)</t>
  </si>
  <si>
    <t>Koszt serwisu (Formularz - wiersz 161)</t>
  </si>
  <si>
    <t>Koszt energii elektrycznej - modernizowany budynek - Pompa ciepła (Formularz - wiersz 71 * Formularz - wiersz 131)</t>
  </si>
  <si>
    <t>Koszt energii elektrycznej - pompa ciepła (Formularz - wiersz 145)</t>
  </si>
  <si>
    <t>Produkcja energii elektrycznej (Formularz  - wiersz 106 razy 103 + wiersz 109 razy 103 z uwzględnieniem opustów)</t>
  </si>
  <si>
    <t>Produkcja energii elektrycznej na sprzedaż (Formularz  - wiersz 109 razy 103)</t>
  </si>
  <si>
    <t>Zużycie energii elektrycznej uwzględnienie istniejącej PV</t>
  </si>
  <si>
    <t>Net-billing: To rozliczenie wartościowe w złotówkach, a nie w kWh. Net-billing wszedł w życie 1 kwietnia 2022 r. jako nowy system rozliczeń prosumentów.</t>
  </si>
  <si>
    <t>Dla nowego budynku wymagane jest podanie z parametrów urządzenia</t>
  </si>
  <si>
    <t>Dla dotychczasowego budynku i źródła ciepła zastosowana formuła z przełożenia jednej jednostki paliwa na generowaną energię cieplną z uwzględnieniem prognozowanego zużycia starego źródła ciepła</t>
  </si>
  <si>
    <t>Pożyczka na rozwój odnawialnych źródeł energii instytucji publicznych</t>
  </si>
  <si>
    <t>Pożyczka na OZE w Regionie Mazowieckim Regionalnym</t>
  </si>
  <si>
    <t>Pożyczka z dotacją - OZE i energetyka</t>
  </si>
  <si>
    <t>Dla instalacji do produkcji energii elektrycznej z OZE, Umowa przyłączenia do sieci elektroenergetycznej punktu poboru energii realizowanej inwestycji. Jeśli taka umowa nie jest dostępna na dzień złożenia wniosku, należy dołączyć pisemne oświadczenie, a jej dostarczenie potwierdzające możliwość realizacji inwestycji opisanej we wniosku o pożyczkę i Analizie Wykonalności (z mocą przyłączeniową nie niższą niż moc zgłaszanej instalacji OZE), będzie warunkiem podpisania Umowy Inwestycyjnej lub wypłaty pożyczki.</t>
  </si>
  <si>
    <r>
      <t xml:space="preserve">6. </t>
    </r>
    <r>
      <rPr>
        <b/>
        <sz val="11"/>
        <color rgb="FF000000"/>
        <rFont val="Arial Narrow"/>
        <family val="2"/>
        <charset val="238"/>
      </rPr>
      <t>WYMAGANE DOKUMENTY</t>
    </r>
  </si>
  <si>
    <t>Dla Magazynów energii o pojemności z przedziału 30–300 kWh wymagane jest Zgłoszenie robót budowlanych do właściwego starostwa powiatowego lub urzędu miasta.</t>
  </si>
  <si>
    <t>W przypadku gruntowych pomp ciepła o głębokości otworu wiertniczego od 30 do 100 m dokument potwierdzający brak sprzeciwu starosty powiatowego do projektu robót geologicznych, a dla odwiertów głębszych niż 100 m - decyzję zatwierdzającą przez Dyrektora Okręgowego Urzędu Górniczego plan ruchu zakładu górniczego.</t>
  </si>
  <si>
    <t>Oferty cenowe zakupu i montażu wszystkich instalacji realizowanej inwestycji.</t>
  </si>
  <si>
    <t>Karty katalogowe urządzeń (dotyczy w szczególności falowników, magazynów energii i pomp ciepła/klimatyzacji)</t>
  </si>
  <si>
    <r>
      <t xml:space="preserve">Net-metering (opusty): To rozliczenie </t>
    </r>
    <r>
      <rPr>
        <b/>
        <sz val="11"/>
        <color rgb="FFFF0000"/>
        <rFont val="Arial Narrow"/>
        <family val="2"/>
        <charset val="238"/>
      </rPr>
      <t>ilościowe w kWh</t>
    </r>
    <r>
      <rPr>
        <sz val="11"/>
        <color rgb="FFFF0000"/>
        <rFont val="Arial Narrow"/>
        <family val="2"/>
        <charset val="238"/>
      </rPr>
      <t>: oddajesz energię do sieci, a potem możesz część jej odebrać. Ten system dotyczy głównie osób, które przyłączyły instalację przed zmianą przepisów — przed 1 kwietnia 2022 r.</t>
    </r>
  </si>
  <si>
    <t>Opis stanu bazowego przed realizacją inwestycji
W rubryce poniżej należy w kilku zdaniach opisać stan bazowy w zależności od zakresu planowanych prac.                                            
- W przypadku montażu nowej instalacji generującej energię elektryczną, przy już istniejącej instalacji fotowoltaicznej należy opisać parametry wcześniej zamontowanej PV oraz wskazać, czy pozostanie ona niezależna, zostanie częściowo zintegrowana z nową instalacją, czy też przewiduje się demontaż wybranych elementów.
- W przypadku montażu nowego źródła ciepła należy krótko scharakteryzować budynek, jego konstrukcję, ocieplenie i przedstawić obecny sposób ogrzewania i przygotowania c.w.u.
Dane dotyczące stanu bazowego powinny pochodzić z okresu przez opracowaniem koncepcji Projektu a dla nowych budynków z projektu budowlanego.</t>
  </si>
  <si>
    <t>Opis planowanego przedsięwzięcia - należy opisać w jaki sposób zostanie zrealizowane przedsięwzięcie, jakie nowe urządzenia zostaną zamontowane lub wymienione w ramach inwestycji, opisać ich udział w pokryciu zapotrzebowania budynku na energię elektryczną i/lub ciepło po zakończeniu projektu.</t>
  </si>
  <si>
    <r>
      <t>Wersja dokumentu:</t>
    </r>
    <r>
      <rPr>
        <sz val="12"/>
        <color theme="1"/>
        <rFont val="Aptos Display"/>
        <family val="2"/>
        <scheme val="major"/>
      </rPr>
      <t xml:space="preserve"> 1.4</t>
    </r>
  </si>
  <si>
    <r>
      <t>Data opracowania:</t>
    </r>
    <r>
      <rPr>
        <sz val="12"/>
        <color theme="1"/>
        <rFont val="Aptos Display"/>
        <family val="2"/>
        <scheme val="major"/>
      </rPr>
      <t xml:space="preserve"> 20.07.2026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</si>
</sst>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\/mm\/yyyy"/>
    <numFmt numFmtId="165" formatCode="0.000"/>
    <numFmt numFmtId="166" formatCode="0.00000"/>
    <numFmt numFmtId="167" formatCode="#,##0.0000"/>
    <numFmt numFmtId="168" formatCode="mm\/yyyy"/>
  </numFmts>
  <fonts count="70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Segoe UI Symbol"/>
      <family val="2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rgb="FF000000"/>
      <name val="Calibri Light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000000"/>
      <name val="Arial Narrow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Arial Narrow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Arial Narrow"/>
      <family val="2"/>
      <charset val="238"/>
    </font>
    <font>
      <b/>
      <u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color theme="5"/>
      <name val="Aptos Narrow"/>
      <family val="2"/>
      <charset val="238"/>
      <scheme val="minor"/>
    </font>
    <font>
      <sz val="10"/>
      <color theme="5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rgb="FF000000"/>
      <name val="Calibri Light"/>
      <family val="2"/>
      <charset val="238"/>
    </font>
    <font>
      <sz val="11"/>
      <color rgb="FF7030A0"/>
      <name val="Calibri"/>
      <family val="2"/>
      <charset val="238"/>
    </font>
    <font>
      <sz val="11"/>
      <color rgb="FF00B050"/>
      <name val="Aptos Narrow"/>
      <family val="2"/>
      <charset val="238"/>
      <scheme val="minor"/>
    </font>
    <font>
      <b/>
      <sz val="20"/>
      <color rgb="FF333333"/>
      <name val="Titillium Web - Forms"/>
    </font>
    <font>
      <b/>
      <sz val="17"/>
      <color rgb="FF333333"/>
      <name val="Titillium Web - Forms"/>
    </font>
    <font>
      <sz val="14"/>
      <color theme="1"/>
      <name val="Aptos Narrow"/>
      <family val="2"/>
      <charset val="238"/>
      <scheme val="minor"/>
    </font>
    <font>
      <sz val="22"/>
      <color theme="1"/>
      <name val="Aptos Narrow"/>
      <family val="2"/>
      <charset val="238"/>
      <scheme val="minor"/>
    </font>
    <font>
      <sz val="26"/>
      <color theme="6" tint="0.39997558519241921"/>
      <name val="Aptos Narrow"/>
      <family val="2"/>
      <charset val="238"/>
      <scheme val="minor"/>
    </font>
    <font>
      <sz val="16"/>
      <color rgb="FFFF0000"/>
      <name val="Aptos Narrow"/>
      <family val="2"/>
      <charset val="238"/>
      <scheme val="minor"/>
    </font>
    <font>
      <sz val="24"/>
      <color theme="6" tint="0.3999755851924192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sz val="28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6"/>
      <color rgb="FFFF0000"/>
      <name val="Aptos Narrow"/>
      <family val="2"/>
      <scheme val="minor"/>
    </font>
    <font>
      <sz val="14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rgb="FF000000"/>
      <name val="Arial Narrow"/>
      <family val="2"/>
      <charset val="238"/>
    </font>
    <font>
      <b/>
      <vertAlign val="subscript"/>
      <sz val="11"/>
      <color rgb="FF000000"/>
      <name val="Arial Narrow"/>
      <family val="2"/>
      <charset val="238"/>
    </font>
    <font>
      <vertAlign val="subscript"/>
      <sz val="11"/>
      <color rgb="FF000000"/>
      <name val="Arial Narrow"/>
      <family val="2"/>
      <charset val="238"/>
    </font>
    <font>
      <b/>
      <sz val="11"/>
      <color rgb="FFFF0000"/>
      <name val="Calibri"/>
      <family val="2"/>
      <charset val="238"/>
    </font>
    <font>
      <sz val="12"/>
      <color rgb="FFFF0000"/>
      <name val="Aptos Narrow"/>
      <family val="2"/>
      <charset val="238"/>
      <scheme val="minor"/>
    </font>
    <font>
      <sz val="11"/>
      <color theme="1"/>
      <name val="Segoe U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20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i/>
      <sz val="12"/>
      <color theme="1"/>
      <name val="Aptos Display"/>
      <family val="2"/>
      <scheme val="major"/>
    </font>
    <font>
      <b/>
      <sz val="11"/>
      <color rgb="FF00206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b/>
      <sz val="11"/>
      <color rgb="FFFF0000"/>
      <name val="Calibri Light"/>
      <family val="2"/>
      <charset val="238"/>
    </font>
    <font>
      <sz val="14"/>
      <color rgb="FF000000"/>
      <name val="Calibri Light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E0000"/>
        <bgColor indexed="64"/>
      </patternFill>
    </fill>
    <fill>
      <patternFill patternType="solid">
        <f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9" fillId="0" borderId="0" applyFont="0" applyFill="0" applyBorder="0" applyAlignment="0" applyProtection="0"/>
    <xf numFmtId="0" fontId="43" fillId="12" borderId="0" applyNumberFormat="0" applyBorder="0" applyAlignment="0" applyProtection="0"/>
  </cellStyleXfs>
  <cellXfs count="458">
    <xf numFmtId="0" fontId="0" fillId="0" borderId="0" xfId="0"/>
    <xf numFmtId="0" fontId="4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7" fillId="0" borderId="0" xfId="0" applyFont="1"/>
    <xf numFmtId="0" fontId="28" fillId="9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11" borderId="0" xfId="0" applyFill="1"/>
    <xf numFmtId="0" fontId="34" fillId="0" borderId="0" xfId="0" applyFont="1"/>
    <xf numFmtId="0" fontId="40" fillId="0" borderId="0" xfId="0" applyFont="1" applyAlignment="1">
      <alignment horizontal="right" vertical="center" wrapText="1"/>
    </xf>
    <xf numFmtId="0" fontId="35" fillId="6" borderId="0" xfId="0" applyFont="1" applyFill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3" fillId="0" borderId="0" xfId="0" applyFont="1"/>
    <xf numFmtId="0" fontId="38" fillId="0" borderId="0" xfId="0" applyFont="1" applyAlignment="1">
      <alignment vertical="center" wrapText="1"/>
    </xf>
    <xf numFmtId="0" fontId="35" fillId="0" borderId="0" xfId="0" applyFont="1"/>
    <xf numFmtId="0" fontId="39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3" fillId="12" borderId="0" xfId="2"/>
    <xf numFmtId="0" fontId="43" fillId="12" borderId="0" xfId="2" applyAlignment="1"/>
    <xf numFmtId="0" fontId="0" fillId="0" borderId="18" xfId="0" applyBorder="1"/>
    <xf numFmtId="0" fontId="0" fillId="7" borderId="18" xfId="0" applyFill="1" applyBorder="1" applyAlignment="1">
      <alignment horizontal="left" vertical="top" wrapText="1"/>
    </xf>
    <xf numFmtId="0" fontId="0" fillId="7" borderId="18" xfId="0" applyFill="1" applyBorder="1"/>
    <xf numFmtId="0" fontId="43" fillId="12" borderId="18" xfId="2" applyBorder="1" applyAlignment="1">
      <alignment wrapText="1"/>
    </xf>
    <xf numFmtId="0" fontId="43" fillId="12" borderId="18" xfId="2" applyBorder="1"/>
    <xf numFmtId="0" fontId="0" fillId="10" borderId="0" xfId="0" applyFill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0" fillId="7" borderId="18" xfId="0" applyFill="1" applyBorder="1" applyAlignment="1">
      <alignment wrapText="1"/>
    </xf>
    <xf numFmtId="0" fontId="43" fillId="12" borderId="18" xfId="2" applyBorder="1" applyAlignment="1">
      <alignment horizontal="center" wrapText="1"/>
    </xf>
    <xf numFmtId="0" fontId="0" fillId="0" borderId="31" xfId="0" applyBorder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quotePrefix="1" applyFont="1" applyAlignment="1" applyProtection="1">
      <alignment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4" fontId="0" fillId="0" borderId="18" xfId="0" applyNumberFormat="1" applyBorder="1"/>
    <xf numFmtId="0" fontId="4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20" fillId="0" borderId="0" xfId="0" applyFont="1" applyProtection="1">
      <protection locked="0"/>
    </xf>
    <xf numFmtId="0" fontId="21" fillId="0" borderId="9" xfId="0" applyFont="1" applyBorder="1" applyAlignment="1" applyProtection="1">
      <alignment vertical="center" wrapText="1"/>
      <protection locked="0"/>
    </xf>
    <xf numFmtId="0" fontId="31" fillId="0" borderId="9" xfId="0" applyFont="1" applyBorder="1" applyAlignment="1" applyProtection="1">
      <alignment vertical="center" wrapText="1"/>
      <protection locked="0"/>
    </xf>
    <xf numFmtId="0" fontId="2" fillId="4" borderId="27" xfId="0" applyFont="1" applyFill="1" applyBorder="1" applyAlignment="1">
      <alignment horizontal="left" vertical="center" wrapText="1" indent="1"/>
    </xf>
    <xf numFmtId="0" fontId="20" fillId="0" borderId="0" xfId="0" applyFont="1"/>
    <xf numFmtId="0" fontId="47" fillId="0" borderId="0" xfId="0" applyFont="1"/>
    <xf numFmtId="0" fontId="20" fillId="0" borderId="0" xfId="0" applyFont="1" applyAlignment="1">
      <alignment wrapText="1"/>
    </xf>
    <xf numFmtId="0" fontId="5" fillId="13" borderId="16" xfId="0" applyFont="1" applyFill="1" applyBorder="1" applyAlignment="1">
      <alignment horizontal="center" vertical="center" wrapText="1"/>
    </xf>
    <xf numFmtId="164" fontId="5" fillId="13" borderId="16" xfId="0" applyNumberFormat="1" applyFont="1" applyFill="1" applyBorder="1" applyAlignment="1">
      <alignment horizontal="center" vertical="center" wrapText="1"/>
    </xf>
    <xf numFmtId="0" fontId="48" fillId="0" borderId="18" xfId="0" applyFont="1" applyBorder="1"/>
    <xf numFmtId="0" fontId="18" fillId="0" borderId="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20" fillId="9" borderId="0" xfId="0" applyFont="1" applyFill="1"/>
    <xf numFmtId="0" fontId="4" fillId="0" borderId="27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4" fontId="5" fillId="13" borderId="16" xfId="0" applyNumberFormat="1" applyFont="1" applyFill="1" applyBorder="1" applyAlignment="1">
      <alignment horizontal="center" vertical="center" wrapText="1"/>
    </xf>
    <xf numFmtId="4" fontId="5" fillId="13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0" fontId="4" fillId="13" borderId="7" xfId="0" applyFont="1" applyFill="1" applyBorder="1" applyAlignment="1">
      <alignment horizontal="center" vertical="center" wrapText="1"/>
    </xf>
    <xf numFmtId="0" fontId="4" fillId="13" borderId="27" xfId="0" applyFont="1" applyFill="1" applyBorder="1" applyAlignment="1">
      <alignment horizontal="center" vertical="center" wrapText="1"/>
    </xf>
    <xf numFmtId="4" fontId="4" fillId="13" borderId="7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0" fontId="48" fillId="6" borderId="18" xfId="0" applyFont="1" applyFill="1" applyBorder="1"/>
    <xf numFmtId="0" fontId="0" fillId="0" borderId="18" xfId="0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7" fillId="0" borderId="27" xfId="0" applyFont="1" applyBorder="1" applyAlignment="1">
      <alignment horizontal="left" vertical="center" wrapText="1" indent="1"/>
    </xf>
    <xf numFmtId="0" fontId="0" fillId="0" borderId="18" xfId="0" applyBorder="1" applyAlignment="1">
      <alignment wrapText="1"/>
    </xf>
    <xf numFmtId="0" fontId="48" fillId="6" borderId="18" xfId="0" applyFont="1" applyFill="1" applyBorder="1" applyAlignment="1">
      <alignment wrapText="1"/>
    </xf>
    <xf numFmtId="0" fontId="11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left" vertical="center" wrapText="1" indent="1"/>
      <protection locked="0"/>
    </xf>
    <xf numFmtId="0" fontId="0" fillId="4" borderId="16" xfId="0" applyFill="1" applyBorder="1" applyAlignment="1" applyProtection="1">
      <alignment vertical="top" wrapText="1" inden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horizontal="left" vertical="center" wrapText="1" indent="1"/>
      <protection locked="0"/>
    </xf>
    <xf numFmtId="0" fontId="49" fillId="0" borderId="4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4" fontId="4" fillId="0" borderId="7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9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horizontal="left" vertical="center" wrapText="1" indent="1"/>
      <protection locked="0"/>
    </xf>
    <xf numFmtId="0" fontId="10" fillId="4" borderId="7" xfId="0" applyFont="1" applyFill="1" applyBorder="1" applyAlignment="1" applyProtection="1">
      <alignment horizontal="left" vertical="center" wrapText="1" indent="1"/>
      <protection locked="0"/>
    </xf>
    <xf numFmtId="0" fontId="14" fillId="4" borderId="7" xfId="0" applyFont="1" applyFill="1" applyBorder="1" applyAlignment="1" applyProtection="1">
      <alignment horizontal="left" vertical="center" wrapText="1" indent="1"/>
      <protection locked="0"/>
    </xf>
    <xf numFmtId="0" fontId="15" fillId="4" borderId="4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left" vertical="center" wrapText="1" indent="1"/>
      <protection locked="0"/>
    </xf>
    <xf numFmtId="0" fontId="16" fillId="4" borderId="7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justify" vertical="center" wrapText="1"/>
      <protection locked="0"/>
    </xf>
    <xf numFmtId="4" fontId="1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0" fontId="53" fillId="0" borderId="0" xfId="0" applyFont="1" applyAlignment="1" applyProtection="1">
      <alignment horizontal="left" vertical="center" wrapText="1"/>
      <protection locked="0"/>
    </xf>
    <xf numFmtId="0" fontId="54" fillId="0" borderId="0" xfId="0" applyFont="1" applyProtection="1">
      <protection locked="0"/>
    </xf>
    <xf numFmtId="0" fontId="55" fillId="0" borderId="33" xfId="0" applyFont="1" applyBorder="1" applyAlignment="1">
      <alignment vertical="center" wrapText="1"/>
    </xf>
    <xf numFmtId="0" fontId="57" fillId="4" borderId="18" xfId="0" applyFont="1" applyFill="1" applyBorder="1"/>
    <xf numFmtId="0" fontId="57" fillId="4" borderId="18" xfId="0" applyFont="1" applyFill="1" applyBorder="1" applyAlignment="1">
      <alignment horizontal="center"/>
    </xf>
    <xf numFmtId="4" fontId="0" fillId="13" borderId="18" xfId="0" applyNumberFormat="1" applyFill="1" applyBorder="1"/>
    <xf numFmtId="4" fontId="0" fillId="0" borderId="0" xfId="0" applyNumberFormat="1"/>
    <xf numFmtId="0" fontId="4" fillId="0" borderId="18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/>
    <xf numFmtId="0" fontId="60" fillId="0" borderId="0" xfId="0" applyFont="1" applyAlignment="1">
      <alignment vertical="center"/>
    </xf>
    <xf numFmtId="0" fontId="60" fillId="0" borderId="0" xfId="0" applyFont="1" applyAlignment="1">
      <alignment horizontal="left" vertical="center" indent="1"/>
    </xf>
    <xf numFmtId="0" fontId="61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2" fillId="5" borderId="0" xfId="0" applyFont="1" applyFill="1" applyAlignment="1">
      <alignment vertical="center"/>
    </xf>
    <xf numFmtId="0" fontId="60" fillId="5" borderId="0" xfId="0" applyFont="1" applyFill="1"/>
    <xf numFmtId="0" fontId="21" fillId="9" borderId="9" xfId="0" applyFont="1" applyFill="1" applyBorder="1" applyAlignment="1" applyProtection="1">
      <alignment vertical="center" wrapText="1"/>
      <protection locked="0"/>
    </xf>
    <xf numFmtId="0" fontId="21" fillId="9" borderId="0" xfId="0" applyFont="1" applyFill="1" applyAlignment="1" applyProtection="1">
      <alignment vertical="center" wrapText="1"/>
      <protection locked="0"/>
    </xf>
    <xf numFmtId="168" fontId="4" fillId="0" borderId="4" xfId="0" applyNumberFormat="1" applyFont="1" applyBorder="1" applyAlignment="1" applyProtection="1">
      <alignment horizontal="center" vertical="center" wrapText="1"/>
      <protection locked="0"/>
    </xf>
    <xf numFmtId="168" fontId="4" fillId="0" borderId="7" xfId="0" applyNumberFormat="1" applyFont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vertical="center" wrapText="1"/>
      <protection locked="0"/>
    </xf>
    <xf numFmtId="0" fontId="53" fillId="0" borderId="9" xfId="0" applyFont="1" applyBorder="1" applyAlignment="1" applyProtection="1">
      <alignment horizontal="center" vertical="center" wrapText="1"/>
      <protection locked="0"/>
    </xf>
    <xf numFmtId="0" fontId="0" fillId="14" borderId="0" xfId="0" applyFill="1"/>
    <xf numFmtId="0" fontId="48" fillId="16" borderId="18" xfId="0" applyFont="1" applyFill="1" applyBorder="1"/>
    <xf numFmtId="0" fontId="0" fillId="16" borderId="18" xfId="0" applyFill="1" applyBorder="1" applyAlignment="1">
      <alignment horizontal="center" vertical="top" wrapText="1"/>
    </xf>
    <xf numFmtId="0" fontId="43" fillId="12" borderId="0" xfId="2" applyBorder="1" applyAlignment="1">
      <alignment horizontal="center" wrapText="1"/>
    </xf>
    <xf numFmtId="0" fontId="55" fillId="0" borderId="18" xfId="0" applyFont="1" applyBorder="1" applyAlignment="1">
      <alignment vertical="center" wrapText="1"/>
    </xf>
    <xf numFmtId="0" fontId="55" fillId="0" borderId="37" xfId="0" applyFont="1" applyBorder="1" applyAlignment="1">
      <alignment vertical="center" wrapText="1"/>
    </xf>
    <xf numFmtId="0" fontId="43" fillId="12" borderId="38" xfId="2" applyBorder="1" applyAlignment="1">
      <alignment horizontal="center" wrapText="1"/>
    </xf>
    <xf numFmtId="0" fontId="0" fillId="7" borderId="18" xfId="0" applyFill="1" applyBorder="1" applyAlignment="1">
      <alignment horizontal="center" vertical="top" wrapText="1"/>
    </xf>
    <xf numFmtId="0" fontId="20" fillId="9" borderId="0" xfId="0" applyFont="1" applyFill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68" fillId="4" borderId="1" xfId="0" applyFont="1" applyFill="1" applyBorder="1" applyAlignment="1" applyProtection="1">
      <alignment horizontal="left" vertical="center" wrapText="1" indent="1"/>
      <protection locked="0"/>
    </xf>
    <xf numFmtId="0" fontId="68" fillId="4" borderId="2" xfId="0" applyFont="1" applyFill="1" applyBorder="1" applyAlignment="1" applyProtection="1">
      <alignment horizontal="left" vertical="center" wrapText="1" indent="1"/>
      <protection locked="0"/>
    </xf>
    <xf numFmtId="0" fontId="68" fillId="4" borderId="3" xfId="0" applyFont="1" applyFill="1" applyBorder="1" applyAlignment="1" applyProtection="1">
      <alignment horizontal="left" vertical="center" wrapText="1" indent="1"/>
      <protection locked="0"/>
    </xf>
    <xf numFmtId="0" fontId="38" fillId="9" borderId="9" xfId="0" applyFont="1" applyFill="1" applyBorder="1" applyAlignment="1" applyProtection="1">
      <alignment horizontal="left" vertical="center" wrapText="1" indent="1"/>
      <protection locked="0"/>
    </xf>
    <xf numFmtId="0" fontId="38" fillId="9" borderId="0" xfId="0" applyFont="1" applyFill="1" applyAlignment="1" applyProtection="1">
      <alignment horizontal="left" vertical="center" wrapText="1" indent="1"/>
      <protection locked="0"/>
    </xf>
    <xf numFmtId="0" fontId="3" fillId="4" borderId="1" xfId="0" applyFont="1" applyFill="1" applyBorder="1" applyAlignment="1" applyProtection="1">
      <alignment horizontal="left" vertical="center" wrapText="1" indent="2"/>
      <protection locked="0"/>
    </xf>
    <xf numFmtId="0" fontId="3" fillId="4" borderId="2" xfId="0" applyFont="1" applyFill="1" applyBorder="1" applyAlignment="1" applyProtection="1">
      <alignment horizontal="left" vertical="center" wrapText="1" indent="2"/>
      <protection locked="0"/>
    </xf>
    <xf numFmtId="0" fontId="3" fillId="4" borderId="3" xfId="0" applyFont="1" applyFill="1" applyBorder="1" applyAlignment="1" applyProtection="1">
      <alignment horizontal="left" vertical="center" wrapText="1" indent="2"/>
      <protection locked="0"/>
    </xf>
    <xf numFmtId="0" fontId="69" fillId="9" borderId="0" xfId="0" applyFont="1" applyFill="1" applyAlignment="1">
      <alignment horizontal="left" vertical="center" wrapText="1"/>
    </xf>
    <xf numFmtId="0" fontId="20" fillId="0" borderId="9" xfId="0" applyFont="1" applyBorder="1" applyAlignment="1" applyProtection="1">
      <alignment horizontal="left" indent="1"/>
      <protection locked="0"/>
    </xf>
    <xf numFmtId="0" fontId="20" fillId="0" borderId="0" xfId="0" applyFont="1" applyAlignment="1" applyProtection="1">
      <alignment horizontal="left" indent="1"/>
      <protection locked="0"/>
    </xf>
    <xf numFmtId="0" fontId="20" fillId="0" borderId="9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38" fillId="9" borderId="9" xfId="0" applyFont="1" applyFill="1" applyBorder="1" applyAlignment="1" applyProtection="1">
      <alignment horizontal="left" vertical="center" indent="1"/>
      <protection locked="0"/>
    </xf>
    <xf numFmtId="0" fontId="38" fillId="9" borderId="0" xfId="0" applyFont="1" applyFill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 indent="2"/>
      <protection locked="0"/>
    </xf>
    <xf numFmtId="0" fontId="3" fillId="4" borderId="12" xfId="0" applyFont="1" applyFill="1" applyBorder="1" applyAlignment="1" applyProtection="1">
      <alignment horizontal="left" vertical="center" wrapText="1" indent="2"/>
      <protection locked="0"/>
    </xf>
    <xf numFmtId="0" fontId="3" fillId="4" borderId="13" xfId="0" applyFont="1" applyFill="1" applyBorder="1" applyAlignment="1" applyProtection="1">
      <alignment horizontal="left" vertical="center" wrapText="1" indent="2"/>
      <protection locked="0"/>
    </xf>
    <xf numFmtId="0" fontId="68" fillId="4" borderId="34" xfId="0" applyFont="1" applyFill="1" applyBorder="1" applyAlignment="1" applyProtection="1">
      <alignment horizontal="left" vertical="center" wrapText="1" indent="1"/>
      <protection locked="0"/>
    </xf>
    <xf numFmtId="0" fontId="68" fillId="4" borderId="35" xfId="0" applyFont="1" applyFill="1" applyBorder="1" applyAlignment="1" applyProtection="1">
      <alignment horizontal="left" vertical="center" wrapText="1" indent="1"/>
      <protection locked="0"/>
    </xf>
    <xf numFmtId="0" fontId="68" fillId="4" borderId="36" xfId="0" applyFont="1" applyFill="1" applyBorder="1" applyAlignment="1" applyProtection="1">
      <alignment horizontal="left" vertical="center" wrapText="1" indent="1"/>
      <protection locked="0"/>
    </xf>
    <xf numFmtId="0" fontId="68" fillId="4" borderId="1" xfId="0" applyFont="1" applyFill="1" applyBorder="1" applyAlignment="1" applyProtection="1">
      <alignment horizontal="left" vertical="center" indent="1"/>
      <protection locked="0"/>
    </xf>
    <xf numFmtId="0" fontId="68" fillId="4" borderId="2" xfId="0" applyFont="1" applyFill="1" applyBorder="1" applyAlignment="1" applyProtection="1">
      <alignment horizontal="left" vertical="center" indent="1"/>
      <protection locked="0"/>
    </xf>
    <xf numFmtId="0" fontId="68" fillId="4" borderId="3" xfId="0" applyFont="1" applyFill="1" applyBorder="1" applyAlignment="1" applyProtection="1">
      <alignment horizontal="left" vertical="center" inden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horizontal="left" vertical="center" wrapText="1" inden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left" vertical="center" wrapText="1" indent="1"/>
      <protection locked="0"/>
    </xf>
    <xf numFmtId="0" fontId="2" fillId="4" borderId="12" xfId="0" applyFont="1" applyFill="1" applyBorder="1" applyAlignment="1" applyProtection="1">
      <alignment horizontal="left" vertical="center" wrapText="1" indent="1"/>
      <protection locked="0"/>
    </xf>
    <xf numFmtId="0" fontId="2" fillId="4" borderId="13" xfId="0" applyFont="1" applyFill="1" applyBorder="1" applyAlignment="1" applyProtection="1">
      <alignment horizontal="left" vertical="center" wrapText="1" indent="1"/>
      <protection locked="0"/>
    </xf>
    <xf numFmtId="0" fontId="2" fillId="4" borderId="9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Alignment="1" applyProtection="1">
      <alignment horizontal="left" vertical="center" wrapText="1" indent="1"/>
      <protection locked="0"/>
    </xf>
    <xf numFmtId="0" fontId="2" fillId="4" borderId="8" xfId="0" applyFont="1" applyFill="1" applyBorder="1" applyAlignment="1" applyProtection="1">
      <alignment horizontal="left" vertical="center" wrapText="1" indent="1"/>
      <protection locked="0"/>
    </xf>
    <xf numFmtId="0" fontId="53" fillId="0" borderId="9" xfId="0" applyFont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left" vertical="center" wrapText="1" indent="1"/>
      <protection locked="0"/>
    </xf>
    <xf numFmtId="0" fontId="2" fillId="4" borderId="16" xfId="0" applyFont="1" applyFill="1" applyBorder="1" applyAlignment="1" applyProtection="1">
      <alignment horizontal="left" vertical="center" wrapText="1" indent="1"/>
      <protection locked="0"/>
    </xf>
    <xf numFmtId="0" fontId="2" fillId="4" borderId="4" xfId="0" applyFont="1" applyFill="1" applyBorder="1" applyAlignment="1" applyProtection="1">
      <alignment horizontal="left" vertical="center" wrapText="1" inden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4" fillId="4" borderId="1" xfId="0" applyFont="1" applyFill="1" applyBorder="1" applyAlignment="1" applyProtection="1">
      <alignment horizontal="center" vertical="center" wrapText="1"/>
      <protection locked="0"/>
    </xf>
    <xf numFmtId="0" fontId="64" fillId="4" borderId="2" xfId="0" applyFont="1" applyFill="1" applyBorder="1" applyAlignment="1" applyProtection="1">
      <alignment horizontal="center" vertical="center" wrapText="1"/>
      <protection locked="0"/>
    </xf>
    <xf numFmtId="0" fontId="64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165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0" xfId="0" applyNumberFormat="1" applyFont="1" applyFill="1" applyAlignment="1" applyProtection="1">
      <alignment horizontal="center" vertical="center" wrapText="1"/>
      <protection locked="0"/>
    </xf>
    <xf numFmtId="165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3" fillId="9" borderId="9" xfId="0" applyFont="1" applyFill="1" applyBorder="1" applyAlignment="1" applyProtection="1">
      <alignment horizontal="left" vertical="center" wrapText="1" indent="1"/>
      <protection locked="0"/>
    </xf>
    <xf numFmtId="4" fontId="0" fillId="4" borderId="15" xfId="0" applyNumberFormat="1" applyFill="1" applyBorder="1" applyAlignment="1" applyProtection="1">
      <alignment horizontal="center" vertical="center"/>
      <protection locked="0"/>
    </xf>
    <xf numFmtId="4" fontId="0" fillId="4" borderId="12" xfId="0" applyNumberFormat="1" applyFill="1" applyBorder="1" applyAlignment="1" applyProtection="1">
      <alignment horizontal="center" vertical="center"/>
      <protection locked="0"/>
    </xf>
    <xf numFmtId="4" fontId="0" fillId="4" borderId="13" xfId="0" applyNumberFormat="1" applyFill="1" applyBorder="1" applyAlignment="1" applyProtection="1">
      <alignment horizontal="center" vertical="center"/>
      <protection locked="0"/>
    </xf>
    <xf numFmtId="4" fontId="0" fillId="4" borderId="5" xfId="0" applyNumberFormat="1" applyFill="1" applyBorder="1" applyAlignment="1" applyProtection="1">
      <alignment horizontal="center" vertical="center"/>
      <protection locked="0"/>
    </xf>
    <xf numFmtId="4" fontId="0" fillId="4" borderId="6" xfId="0" applyNumberFormat="1" applyFill="1" applyBorder="1" applyAlignment="1" applyProtection="1">
      <alignment horizontal="center" vertical="center"/>
      <protection locked="0"/>
    </xf>
    <xf numFmtId="4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5" fontId="0" fillId="4" borderId="12" xfId="0" applyNumberFormat="1" applyFill="1" applyBorder="1" applyAlignment="1" applyProtection="1">
      <alignment horizontal="center" vertical="center"/>
      <protection locked="0"/>
    </xf>
    <xf numFmtId="165" fontId="0" fillId="4" borderId="13" xfId="0" applyNumberFormat="1" applyFill="1" applyBorder="1" applyAlignment="1" applyProtection="1">
      <alignment horizontal="center" vertical="center"/>
      <protection locked="0"/>
    </xf>
    <xf numFmtId="165" fontId="0" fillId="4" borderId="5" xfId="0" applyNumberFormat="1" applyFill="1" applyBorder="1" applyAlignment="1" applyProtection="1">
      <alignment horizontal="center" vertical="center"/>
      <protection locked="0"/>
    </xf>
    <xf numFmtId="165" fontId="0" fillId="4" borderId="6" xfId="0" applyNumberFormat="1" applyFill="1" applyBorder="1" applyAlignment="1" applyProtection="1">
      <alignment horizontal="center" vertical="center"/>
      <protection locked="0"/>
    </xf>
    <xf numFmtId="165" fontId="0" fillId="4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5" fillId="4" borderId="1" xfId="0" applyFont="1" applyFill="1" applyBorder="1" applyAlignment="1" applyProtection="1">
      <alignment horizontal="center" vertical="center" wrapText="1"/>
      <protection locked="0"/>
    </xf>
    <xf numFmtId="0" fontId="65" fillId="4" borderId="2" xfId="0" applyFont="1" applyFill="1" applyBorder="1" applyAlignment="1" applyProtection="1">
      <alignment horizontal="center" vertical="center" wrapText="1"/>
      <protection locked="0"/>
    </xf>
    <xf numFmtId="0" fontId="65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1"/>
      <protection locked="0"/>
    </xf>
    <xf numFmtId="0" fontId="2" fillId="4" borderId="29" xfId="0" applyFont="1" applyFill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9" borderId="10" xfId="0" applyFont="1" applyFill="1" applyBorder="1" applyAlignment="1" applyProtection="1">
      <alignment horizontal="center" vertical="center" wrapText="1"/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 inden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2"/>
      <protection locked="0"/>
    </xf>
    <xf numFmtId="0" fontId="2" fillId="4" borderId="2" xfId="0" applyFont="1" applyFill="1" applyBorder="1" applyAlignment="1" applyProtection="1">
      <alignment horizontal="left" vertical="center" wrapText="1" indent="2"/>
      <protection locked="0"/>
    </xf>
    <xf numFmtId="0" fontId="2" fillId="4" borderId="3" xfId="0" applyFont="1" applyFill="1" applyBorder="1" applyAlignment="1" applyProtection="1">
      <alignment horizontal="left" vertical="center" wrapText="1" indent="2"/>
      <protection locked="0"/>
    </xf>
    <xf numFmtId="164" fontId="3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164" fontId="6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left" vertical="center" wrapText="1" indent="1"/>
      <protection locked="0"/>
    </xf>
    <xf numFmtId="0" fontId="2" fillId="4" borderId="28" xfId="0" applyFont="1" applyFill="1" applyBorder="1" applyAlignment="1" applyProtection="1">
      <alignment horizontal="left" vertical="center" wrapText="1" indent="1"/>
      <protection locked="0"/>
    </xf>
    <xf numFmtId="9" fontId="4" fillId="4" borderId="15" xfId="1" applyFont="1" applyFill="1" applyBorder="1" applyAlignment="1" applyProtection="1">
      <alignment horizontal="center" vertical="center" wrapText="1"/>
      <protection locked="0"/>
    </xf>
    <xf numFmtId="9" fontId="4" fillId="4" borderId="12" xfId="1" applyFont="1" applyFill="1" applyBorder="1" applyAlignment="1" applyProtection="1">
      <alignment horizontal="center" vertical="center" wrapText="1"/>
      <protection locked="0"/>
    </xf>
    <xf numFmtId="9" fontId="4" fillId="4" borderId="13" xfId="1" applyFont="1" applyFill="1" applyBorder="1" applyAlignment="1" applyProtection="1">
      <alignment horizontal="center" vertical="center" wrapText="1"/>
      <protection locked="0"/>
    </xf>
    <xf numFmtId="9" fontId="4" fillId="4" borderId="9" xfId="1" applyFont="1" applyFill="1" applyBorder="1" applyAlignment="1" applyProtection="1">
      <alignment horizontal="center" vertical="center" wrapText="1"/>
      <protection locked="0"/>
    </xf>
    <xf numFmtId="9" fontId="4" fillId="4" borderId="0" xfId="1" applyFont="1" applyFill="1" applyAlignment="1" applyProtection="1">
      <alignment horizontal="center" vertical="center" wrapText="1"/>
      <protection locked="0"/>
    </xf>
    <xf numFmtId="9" fontId="4" fillId="4" borderId="8" xfId="1" applyFont="1" applyFill="1" applyBorder="1" applyAlignment="1" applyProtection="1">
      <alignment horizontal="center" vertical="center" wrapText="1"/>
      <protection locked="0"/>
    </xf>
    <xf numFmtId="9" fontId="4" fillId="4" borderId="5" xfId="1" applyFont="1" applyFill="1" applyBorder="1" applyAlignment="1" applyProtection="1">
      <alignment horizontal="center" vertical="center" wrapText="1"/>
      <protection locked="0"/>
    </xf>
    <xf numFmtId="9" fontId="4" fillId="4" borderId="6" xfId="1" applyFont="1" applyFill="1" applyBorder="1" applyAlignment="1" applyProtection="1">
      <alignment horizontal="center" vertical="center" wrapText="1"/>
      <protection locked="0"/>
    </xf>
    <xf numFmtId="9" fontId="4" fillId="4" borderId="7" xfId="1" applyFont="1" applyFill="1" applyBorder="1" applyAlignment="1" applyProtection="1">
      <alignment horizontal="center" vertical="center" wrapText="1"/>
      <protection locked="0"/>
    </xf>
    <xf numFmtId="9" fontId="5" fillId="4" borderId="9" xfId="1" applyFont="1" applyFill="1" applyBorder="1" applyAlignment="1" applyProtection="1">
      <alignment horizontal="center" vertical="center"/>
      <protection locked="0"/>
    </xf>
    <xf numFmtId="9" fontId="5" fillId="4" borderId="0" xfId="1" applyFont="1" applyFill="1" applyAlignment="1" applyProtection="1">
      <alignment horizontal="center" vertical="center"/>
      <protection locked="0"/>
    </xf>
    <xf numFmtId="9" fontId="5" fillId="4" borderId="8" xfId="1" applyFont="1" applyFill="1" applyBorder="1" applyAlignment="1" applyProtection="1">
      <alignment horizontal="center" vertical="center"/>
      <protection locked="0"/>
    </xf>
    <xf numFmtId="9" fontId="5" fillId="4" borderId="5" xfId="1" applyFont="1" applyFill="1" applyBorder="1" applyAlignment="1" applyProtection="1">
      <alignment horizontal="center" vertical="center"/>
      <protection locked="0"/>
    </xf>
    <xf numFmtId="9" fontId="5" fillId="4" borderId="6" xfId="1" applyFont="1" applyFill="1" applyBorder="1" applyAlignment="1" applyProtection="1">
      <alignment horizontal="center" vertical="center"/>
      <protection locked="0"/>
    </xf>
    <xf numFmtId="9" fontId="5" fillId="4" borderId="7" xfId="1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9" fontId="4" fillId="4" borderId="15" xfId="1" applyFont="1" applyFill="1" applyBorder="1" applyAlignment="1">
      <alignment horizontal="center" vertical="center" wrapText="1"/>
    </xf>
    <xf numFmtId="9" fontId="4" fillId="4" borderId="12" xfId="1" applyFont="1" applyFill="1" applyBorder="1" applyAlignment="1">
      <alignment horizontal="center" vertical="center" wrapText="1"/>
    </xf>
    <xf numFmtId="9" fontId="4" fillId="4" borderId="13" xfId="1" applyFont="1" applyFill="1" applyBorder="1" applyAlignment="1">
      <alignment horizontal="center" vertical="center" wrapText="1"/>
    </xf>
    <xf numFmtId="9" fontId="4" fillId="4" borderId="9" xfId="1" applyFont="1" applyFill="1" applyBorder="1" applyAlignment="1">
      <alignment horizontal="center" vertical="center" wrapText="1"/>
    </xf>
    <xf numFmtId="9" fontId="4" fillId="4" borderId="0" xfId="1" applyFont="1" applyFill="1" applyAlignment="1">
      <alignment horizontal="center" vertical="center" wrapText="1"/>
    </xf>
    <xf numFmtId="9" fontId="4" fillId="4" borderId="8" xfId="1" applyFont="1" applyFill="1" applyBorder="1" applyAlignment="1">
      <alignment horizontal="center" vertical="center" wrapText="1"/>
    </xf>
    <xf numFmtId="9" fontId="4" fillId="4" borderId="5" xfId="1" applyFont="1" applyFill="1" applyBorder="1" applyAlignment="1">
      <alignment horizontal="center" vertical="center" wrapText="1"/>
    </xf>
    <xf numFmtId="9" fontId="4" fillId="4" borderId="6" xfId="1" applyFont="1" applyFill="1" applyBorder="1" applyAlignment="1">
      <alignment horizontal="center" vertical="center" wrapText="1"/>
    </xf>
    <xf numFmtId="9" fontId="4" fillId="4" borderId="7" xfId="1" applyFont="1" applyFill="1" applyBorder="1" applyAlignment="1">
      <alignment horizontal="center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horizontal="left" vertical="top" wrapText="1"/>
      <protection locked="0"/>
    </xf>
    <xf numFmtId="0" fontId="3" fillId="9" borderId="2" xfId="0" applyFont="1" applyFill="1" applyBorder="1" applyAlignment="1" applyProtection="1">
      <alignment horizontal="left" vertical="top" wrapText="1"/>
      <protection locked="0"/>
    </xf>
    <xf numFmtId="0" fontId="3" fillId="9" borderId="3" xfId="0" applyFont="1" applyFill="1" applyBorder="1" applyAlignment="1" applyProtection="1">
      <alignment horizontal="left" vertical="top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0" xfId="0" applyNumberFormat="1" applyFont="1" applyFill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9" fillId="15" borderId="1" xfId="0" applyFont="1" applyFill="1" applyBorder="1" applyAlignment="1">
      <alignment horizontal="center" vertical="center" wrapText="1"/>
    </xf>
    <xf numFmtId="0" fontId="59" fillId="15" borderId="2" xfId="0" applyFont="1" applyFill="1" applyBorder="1" applyAlignment="1">
      <alignment horizontal="center" vertical="center" wrapText="1"/>
    </xf>
    <xf numFmtId="0" fontId="59" fillId="15" borderId="3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10" fillId="4" borderId="15" xfId="0" applyFont="1" applyFill="1" applyBorder="1" applyAlignment="1" applyProtection="1">
      <alignment horizontal="justify" vertical="center" wrapText="1"/>
      <protection locked="0"/>
    </xf>
    <xf numFmtId="0" fontId="10" fillId="4" borderId="12" xfId="0" applyFont="1" applyFill="1" applyBorder="1" applyAlignment="1" applyProtection="1">
      <alignment horizontal="justify" vertical="center" wrapText="1"/>
      <protection locked="0"/>
    </xf>
    <xf numFmtId="0" fontId="10" fillId="4" borderId="13" xfId="0" applyFont="1" applyFill="1" applyBorder="1" applyAlignment="1" applyProtection="1">
      <alignment horizontal="justify" vertical="center" wrapText="1"/>
      <protection locked="0"/>
    </xf>
    <xf numFmtId="0" fontId="10" fillId="4" borderId="5" xfId="0" applyFont="1" applyFill="1" applyBorder="1" applyAlignment="1" applyProtection="1">
      <alignment horizontal="justify" vertical="center" wrapText="1"/>
      <protection locked="0"/>
    </xf>
    <xf numFmtId="0" fontId="10" fillId="4" borderId="6" xfId="0" applyFont="1" applyFill="1" applyBorder="1" applyAlignment="1" applyProtection="1">
      <alignment horizontal="justify" vertical="center" wrapText="1"/>
      <protection locked="0"/>
    </xf>
    <xf numFmtId="0" fontId="10" fillId="4" borderId="7" xfId="0" applyFont="1" applyFill="1" applyBorder="1" applyAlignment="1" applyProtection="1">
      <alignment horizontal="justify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vertical="top" wrapText="1" inden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4" fontId="45" fillId="8" borderId="2" xfId="0" applyNumberFormat="1" applyFont="1" applyFill="1" applyBorder="1" applyAlignment="1">
      <alignment horizontal="center" vertical="center" wrapText="1"/>
    </xf>
    <xf numFmtId="4" fontId="45" fillId="8" borderId="3" xfId="0" applyNumberFormat="1" applyFont="1" applyFill="1" applyBorder="1" applyAlignment="1">
      <alignment horizontal="center" vertical="center" wrapText="1"/>
    </xf>
    <xf numFmtId="4" fontId="50" fillId="14" borderId="2" xfId="0" applyNumberFormat="1" applyFont="1" applyFill="1" applyBorder="1" applyAlignment="1">
      <alignment horizontal="center" vertical="center" wrapText="1"/>
    </xf>
    <xf numFmtId="4" fontId="50" fillId="14" borderId="3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right" vertical="center" wrapText="1"/>
    </xf>
    <xf numFmtId="0" fontId="44" fillId="0" borderId="0" xfId="0" applyFont="1" applyAlignment="1">
      <alignment horizontal="center" vertical="center" wrapText="1"/>
    </xf>
    <xf numFmtId="0" fontId="35" fillId="5" borderId="0" xfId="0" applyFont="1" applyFill="1" applyAlignment="1">
      <alignment horizontal="right" vertical="center"/>
    </xf>
    <xf numFmtId="0" fontId="35" fillId="5" borderId="22" xfId="0" applyFont="1" applyFill="1" applyBorder="1" applyAlignment="1">
      <alignment horizontal="right" vertical="center"/>
    </xf>
    <xf numFmtId="0" fontId="35" fillId="5" borderId="0" xfId="0" applyFont="1" applyFill="1" applyAlignment="1">
      <alignment horizontal="right" vertical="center" wrapText="1"/>
    </xf>
    <xf numFmtId="0" fontId="35" fillId="5" borderId="22" xfId="0" applyFont="1" applyFill="1" applyBorder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7" fillId="0" borderId="21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2" fillId="6" borderId="15" xfId="0" applyFont="1" applyFill="1" applyBorder="1" applyAlignment="1">
      <alignment horizontal="center"/>
    </xf>
    <xf numFmtId="0" fontId="42" fillId="6" borderId="13" xfId="0" applyFont="1" applyFill="1" applyBorder="1" applyAlignment="1">
      <alignment horizontal="center"/>
    </xf>
    <xf numFmtId="0" fontId="42" fillId="6" borderId="5" xfId="0" applyFont="1" applyFill="1" applyBorder="1" applyAlignment="1">
      <alignment horizontal="center"/>
    </xf>
    <xf numFmtId="0" fontId="42" fillId="6" borderId="7" xfId="0" applyFont="1" applyFill="1" applyBorder="1" applyAlignment="1">
      <alignment horizontal="center"/>
    </xf>
    <xf numFmtId="0" fontId="39" fillId="0" borderId="21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 wrapText="1"/>
    </xf>
    <xf numFmtId="0" fontId="6" fillId="13" borderId="18" xfId="0" applyFont="1" applyFill="1" applyBorder="1" applyAlignment="1">
      <alignment horizontal="center" vertical="center" wrapText="1"/>
    </xf>
    <xf numFmtId="166" fontId="6" fillId="13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4" fontId="4" fillId="13" borderId="17" xfId="0" applyNumberFormat="1" applyFont="1" applyFill="1" applyBorder="1" applyAlignment="1">
      <alignment horizontal="center" vertical="center" wrapText="1"/>
    </xf>
    <xf numFmtId="4" fontId="4" fillId="13" borderId="16" xfId="0" applyNumberFormat="1" applyFont="1" applyFill="1" applyBorder="1" applyAlignment="1">
      <alignment horizontal="center" vertical="center" wrapText="1"/>
    </xf>
    <xf numFmtId="4" fontId="4" fillId="13" borderId="4" xfId="0" applyNumberFormat="1" applyFont="1" applyFill="1" applyBorder="1" applyAlignment="1">
      <alignment horizontal="center" vertical="center" wrapText="1"/>
    </xf>
    <xf numFmtId="4" fontId="18" fillId="6" borderId="17" xfId="0" applyNumberFormat="1" applyFont="1" applyFill="1" applyBorder="1" applyAlignment="1">
      <alignment horizontal="center" vertical="center" wrapText="1"/>
    </xf>
    <xf numFmtId="4" fontId="18" fillId="6" borderId="16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10" fontId="5" fillId="8" borderId="17" xfId="1" applyNumberFormat="1" applyFont="1" applyFill="1" applyBorder="1" applyAlignment="1">
      <alignment horizontal="center" vertical="center" wrapText="1"/>
    </xf>
    <xf numFmtId="10" fontId="5" fillId="8" borderId="16" xfId="1" applyNumberFormat="1" applyFont="1" applyFill="1" applyBorder="1" applyAlignment="1">
      <alignment horizontal="center" vertic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8" fillId="4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13" borderId="17" xfId="0" applyNumberFormat="1" applyFont="1" applyFill="1" applyBorder="1" applyAlignment="1">
      <alignment horizontal="center" vertical="center" wrapText="1"/>
    </xf>
    <xf numFmtId="2" fontId="5" fillId="13" borderId="4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4" fillId="13" borderId="1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167" fontId="4" fillId="13" borderId="1" xfId="0" applyNumberFormat="1" applyFont="1" applyFill="1" applyBorder="1" applyAlignment="1">
      <alignment horizontal="center" vertical="center" wrapText="1"/>
    </xf>
    <xf numFmtId="167" fontId="4" fillId="13" borderId="3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0" fillId="0" borderId="18" xfId="0" applyBorder="1" applyAlignment="1">
      <alignment horizontal="center"/>
    </xf>
  </cellXfs>
  <cellStyles count="3">
    <cellStyle name="Akcent 1" xfId="2" builtinId="29"/>
    <cellStyle name="Normalny" xfId="0" builtinId="0"/>
    <cellStyle name="Procentowy" xfId="1" builtinId="5"/>
  </cellStyles>
  <dxfs count="40">
    <dxf>
      <fill>
        <patternFill patternType="none">
          <bgColor auto="1"/>
        </patternFill>
      </fill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C0000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</dxfs>
  <tableStyles count="2" defaultTableStyle="TableStyleMedium2" defaultPivotStyle="PivotStyleLight16">
    <tableStyle name="SlicerStyleLight3 2" pivot="0" table="0" count="10" xr9:uid="{C91FA867-0E00-4F17-9740-9E80DFD67E90}">
      <tableStyleElement type="wholeTable" dxfId="39"/>
      <tableStyleElement type="headerRow" dxfId="38"/>
    </tableStyle>
    <tableStyle name="Styl fragmentatora 1" pivot="0" table="0" count="2" xr9:uid="{8B448C8C-83A2-461F-B6CA-C06811571500}"/>
  </tableStyles>
  <extLst>
    <ext xmlns:x14="http://schemas.microsoft.com/office/spreadsheetml/2009/9/main" uri="{46F421CA-312F-682f-3DD2-61675219B42D}">
      <x14:dxfs count="10">
        <dxf>
          <fill>
            <patternFill>
              <bgColor theme="6"/>
            </patternFill>
          </fill>
        </dxf>
        <dxf>
          <fill>
            <patternFill>
              <bgColor theme="0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5117038483843"/>
              <bgColor theme="5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3 2">
          <x14:slicerStyleElements>
            <x14:slicerStyleElement type="unselectedItemWithData" dxfId="9"/>
            <x14:slicerStyleElement type="unselectedItemWithNoData" dxfId="8"/>
            <x14:slicerStyleElement type="selectedItemWithData" dxfId="7"/>
            <x14:slicerStyleElement type="selectedItemWithNoData" dxfId="6"/>
            <x14:slicerStyleElement type="hoveredUnselectedItemWithData" dxfId="5"/>
            <x14:slicerStyleElement type="hoveredSelectedItemWithData" dxfId="4"/>
            <x14:slicerStyleElement type="hoveredUnselectedItemWithNoData" dxfId="3"/>
            <x14:slicerStyleElement type="hoveredSelectedItemWithNoData" dxfId="2"/>
          </x14:slicerStyleElements>
        </x14:slicerStyle>
        <x14:slicerStyle name="Styl fragmentatora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314325</xdr:colOff>
      <xdr:row>28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1DF0385-6452-4831-4354-6F6D7E496328}"/>
            </a:ext>
          </a:extLst>
        </xdr:cNvPr>
        <xdr:cNvSpPr txBox="1"/>
      </xdr:nvSpPr>
      <xdr:spPr>
        <a:xfrm>
          <a:off x="12258675" y="1285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6A0EEC-F2E5-4C84-AA2F-D0A735D4B2BD}" name="Tabela1" displayName="Tabela1" ref="C1:C3" totalsRowShown="0">
  <autoFilter ref="C1:C3" xr:uid="{D36A0EEC-F2E5-4C84-AA2F-D0A735D4B2BD}"/>
  <tableColumns count="1">
    <tableColumn id="1" xr3:uid="{88D3B94E-76F3-47E7-8B58-F4E8500C8013}" name="Oznaczenie TAK / 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E1A5-542B-41CB-9F2F-303C18858507}">
  <sheetPr>
    <tabColor theme="5" tint="0.39997558519241921"/>
  </sheetPr>
  <dimension ref="A1:K64"/>
  <sheetViews>
    <sheetView showGridLines="0" zoomScale="115" zoomScaleNormal="115" workbookViewId="0">
      <selection activeCell="A8" sqref="A8"/>
    </sheetView>
  </sheetViews>
  <sheetFormatPr defaultColWidth="8.77734375" defaultRowHeight="15.6"/>
  <cols>
    <col min="1" max="16384" width="8.77734375" style="117"/>
  </cols>
  <sheetData>
    <row r="1" spans="1:10" ht="25.8">
      <c r="A1" s="120" t="s">
        <v>340</v>
      </c>
    </row>
    <row r="2" spans="1:10">
      <c r="A2" s="118"/>
    </row>
    <row r="3" spans="1:10" s="123" customFormat="1" ht="21">
      <c r="A3" s="122" t="s">
        <v>364</v>
      </c>
    </row>
    <row r="4" spans="1:10">
      <c r="A4" s="118"/>
    </row>
    <row r="5" spans="1:10">
      <c r="A5" s="118"/>
    </row>
    <row r="6" spans="1:10">
      <c r="A6" s="116" t="s">
        <v>450</v>
      </c>
    </row>
    <row r="7" spans="1:10">
      <c r="A7" s="116" t="s">
        <v>451</v>
      </c>
    </row>
    <row r="8" spans="1:10">
      <c r="A8" s="116" t="s">
        <v>346</v>
      </c>
    </row>
    <row r="9" spans="1:10" ht="16.2" thickBot="1">
      <c r="A9" s="116"/>
    </row>
    <row r="10" spans="1:10" ht="192.75" customHeight="1" thickBot="1">
      <c r="A10" s="338" t="s">
        <v>363</v>
      </c>
      <c r="B10" s="339"/>
      <c r="C10" s="339"/>
      <c r="D10" s="339"/>
      <c r="E10" s="339"/>
      <c r="F10" s="339"/>
      <c r="G10" s="339"/>
      <c r="H10" s="339"/>
      <c r="I10" s="339"/>
      <c r="J10" s="340"/>
    </row>
    <row r="11" spans="1:10">
      <c r="A11" s="116"/>
    </row>
    <row r="12" spans="1:10">
      <c r="A12" s="116"/>
    </row>
    <row r="13" spans="1:10">
      <c r="A13" s="116" t="s">
        <v>374</v>
      </c>
    </row>
    <row r="14" spans="1:10">
      <c r="A14" s="118"/>
    </row>
    <row r="15" spans="1:10">
      <c r="A15" s="118" t="s">
        <v>365</v>
      </c>
    </row>
    <row r="16" spans="1:10">
      <c r="A16" s="118"/>
    </row>
    <row r="17" spans="1:11">
      <c r="A17" s="116" t="s">
        <v>360</v>
      </c>
    </row>
    <row r="18" spans="1:11">
      <c r="A18" s="118"/>
    </row>
    <row r="19" spans="1:11">
      <c r="A19" s="341" t="s">
        <v>366</v>
      </c>
      <c r="B19" s="341"/>
      <c r="C19" s="341"/>
      <c r="D19" s="341"/>
      <c r="E19" s="341"/>
      <c r="F19" s="341"/>
      <c r="G19" s="341"/>
      <c r="H19" s="341"/>
      <c r="I19" s="341"/>
      <c r="J19" s="341"/>
      <c r="K19" s="341"/>
    </row>
    <row r="20" spans="1:11">
      <c r="A20" s="118"/>
    </row>
    <row r="22" spans="1:11">
      <c r="A22" s="118"/>
    </row>
    <row r="23" spans="1:11">
      <c r="A23" s="116" t="s">
        <v>341</v>
      </c>
    </row>
    <row r="24" spans="1:11">
      <c r="A24" s="119"/>
    </row>
    <row r="25" spans="1:11">
      <c r="A25" s="119" t="s">
        <v>375</v>
      </c>
    </row>
    <row r="26" spans="1:11">
      <c r="A26" s="118"/>
    </row>
    <row r="27" spans="1:11">
      <c r="A27" s="118"/>
    </row>
    <row r="28" spans="1:11">
      <c r="A28" s="118"/>
    </row>
    <row r="29" spans="1:11">
      <c r="A29" s="121" t="s">
        <v>347</v>
      </c>
    </row>
    <row r="30" spans="1:11">
      <c r="A30" s="118"/>
    </row>
    <row r="33" spans="1:1" ht="56.55" customHeight="1">
      <c r="A33" s="118"/>
    </row>
    <row r="34" spans="1:1">
      <c r="A34" s="116" t="s">
        <v>376</v>
      </c>
    </row>
    <row r="35" spans="1:1" ht="51" customHeight="1">
      <c r="A35" s="118"/>
    </row>
    <row r="36" spans="1:1">
      <c r="A36" s="116" t="s">
        <v>342</v>
      </c>
    </row>
    <row r="37" spans="1:1">
      <c r="A37" s="119"/>
    </row>
    <row r="38" spans="1:1">
      <c r="A38" s="119" t="s">
        <v>348</v>
      </c>
    </row>
    <row r="39" spans="1:1">
      <c r="A39" s="119" t="s">
        <v>349</v>
      </c>
    </row>
    <row r="40" spans="1:1">
      <c r="A40" s="119" t="s">
        <v>350</v>
      </c>
    </row>
    <row r="41" spans="1:1">
      <c r="A41" s="118"/>
    </row>
    <row r="42" spans="1:1">
      <c r="A42" s="116" t="s">
        <v>343</v>
      </c>
    </row>
    <row r="43" spans="1:1">
      <c r="A43" s="119"/>
    </row>
    <row r="44" spans="1:1">
      <c r="A44" s="119" t="s">
        <v>351</v>
      </c>
    </row>
    <row r="45" spans="1:1">
      <c r="A45" s="119" t="s">
        <v>352</v>
      </c>
    </row>
    <row r="46" spans="1:1">
      <c r="A46" s="119" t="s">
        <v>353</v>
      </c>
    </row>
    <row r="47" spans="1:1">
      <c r="A47" s="119" t="s">
        <v>354</v>
      </c>
    </row>
    <row r="48" spans="1:1">
      <c r="A48" s="118"/>
    </row>
    <row r="49" spans="1:1">
      <c r="A49" s="116" t="s">
        <v>344</v>
      </c>
    </row>
    <row r="50" spans="1:1">
      <c r="A50" s="119"/>
    </row>
    <row r="51" spans="1:1">
      <c r="A51" s="119" t="s">
        <v>355</v>
      </c>
    </row>
    <row r="52" spans="1:1">
      <c r="A52" s="119" t="s">
        <v>356</v>
      </c>
    </row>
    <row r="53" spans="1:1">
      <c r="A53" s="119" t="s">
        <v>357</v>
      </c>
    </row>
    <row r="54" spans="1:1" ht="38.1" customHeight="1">
      <c r="A54" s="118"/>
    </row>
    <row r="55" spans="1:1">
      <c r="A55" s="116" t="s">
        <v>345</v>
      </c>
    </row>
    <row r="56" spans="1:1">
      <c r="A56" s="119"/>
    </row>
    <row r="57" spans="1:1">
      <c r="A57" s="119" t="s">
        <v>358</v>
      </c>
    </row>
    <row r="58" spans="1:1">
      <c r="A58" s="119" t="s">
        <v>359</v>
      </c>
    </row>
    <row r="59" spans="1:1">
      <c r="A59" s="118"/>
    </row>
    <row r="60" spans="1:1">
      <c r="A60" s="119"/>
    </row>
    <row r="61" spans="1:1">
      <c r="A61" s="119"/>
    </row>
    <row r="62" spans="1:1">
      <c r="A62" s="119"/>
    </row>
    <row r="63" spans="1:1">
      <c r="A63" s="119"/>
    </row>
    <row r="64" spans="1:1">
      <c r="A64" s="119"/>
    </row>
  </sheetData>
  <mergeCells count="2">
    <mergeCell ref="A10:J10"/>
    <mergeCell ref="A19:K19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8F54-44B9-4E3E-8CF8-01F1229BC1B9}">
  <sheetPr codeName="Arkusz7"/>
  <dimension ref="A1:I88"/>
  <sheetViews>
    <sheetView topLeftCell="A45" zoomScaleNormal="100" workbookViewId="0">
      <selection activeCell="D57" sqref="D57"/>
    </sheetView>
  </sheetViews>
  <sheetFormatPr defaultRowHeight="14.4"/>
  <cols>
    <col min="1" max="1" width="61.21875" bestFit="1" customWidth="1"/>
    <col min="2" max="2" width="18.44140625" customWidth="1"/>
    <col min="3" max="3" width="35.5546875" customWidth="1"/>
    <col min="4" max="4" width="20" style="19" customWidth="1"/>
    <col min="5" max="5" width="28" style="22" customWidth="1"/>
    <col min="6" max="6" width="159.21875" bestFit="1" customWidth="1"/>
    <col min="7" max="7" width="115.77734375" customWidth="1"/>
    <col min="8" max="8" width="117.21875" bestFit="1" customWidth="1"/>
    <col min="9" max="9" width="111" bestFit="1" customWidth="1"/>
  </cols>
  <sheetData>
    <row r="1" spans="1:9">
      <c r="A1" s="36" t="s">
        <v>137</v>
      </c>
      <c r="C1" s="20" t="s">
        <v>138</v>
      </c>
      <c r="D1"/>
      <c r="E1"/>
      <c r="F1" s="37" t="s">
        <v>139</v>
      </c>
      <c r="G1" s="19"/>
      <c r="H1" s="41" t="s">
        <v>139</v>
      </c>
      <c r="I1" s="42" t="s">
        <v>140</v>
      </c>
    </row>
    <row r="2" spans="1:9">
      <c r="A2" s="23">
        <f ca="1">TODAY()</f>
        <v>46234</v>
      </c>
      <c r="C2" s="20" t="s">
        <v>141</v>
      </c>
      <c r="D2"/>
      <c r="E2"/>
      <c r="F2" s="43" t="s">
        <v>142</v>
      </c>
      <c r="G2" s="19"/>
      <c r="H2" s="39" t="s">
        <v>142</v>
      </c>
      <c r="I2" s="40" t="s">
        <v>143</v>
      </c>
    </row>
    <row r="3" spans="1:9">
      <c r="C3" s="20" t="s">
        <v>144</v>
      </c>
      <c r="D3"/>
      <c r="E3"/>
      <c r="F3" s="43" t="s">
        <v>145</v>
      </c>
      <c r="G3" s="19"/>
      <c r="H3" s="39" t="s">
        <v>142</v>
      </c>
      <c r="I3" s="40" t="s">
        <v>146</v>
      </c>
    </row>
    <row r="4" spans="1:9">
      <c r="D4"/>
      <c r="E4"/>
      <c r="F4" s="43" t="s">
        <v>147</v>
      </c>
      <c r="G4" s="19"/>
      <c r="H4" s="39" t="s">
        <v>145</v>
      </c>
      <c r="I4" s="40" t="s">
        <v>148</v>
      </c>
    </row>
    <row r="5" spans="1:9">
      <c r="D5"/>
      <c r="E5"/>
      <c r="F5" s="43" t="s">
        <v>149</v>
      </c>
      <c r="G5" s="19"/>
      <c r="H5" s="39" t="s">
        <v>145</v>
      </c>
      <c r="I5" s="40" t="s">
        <v>438</v>
      </c>
    </row>
    <row r="6" spans="1:9">
      <c r="C6" s="46" t="s">
        <v>34</v>
      </c>
      <c r="D6"/>
      <c r="E6"/>
      <c r="F6" s="43" t="s">
        <v>155</v>
      </c>
      <c r="G6" s="19"/>
      <c r="H6" s="44" t="s">
        <v>147</v>
      </c>
      <c r="I6" s="40" t="s">
        <v>150</v>
      </c>
    </row>
    <row r="7" spans="1:9">
      <c r="C7" s="38" t="s">
        <v>152</v>
      </c>
      <c r="D7"/>
      <c r="E7"/>
      <c r="F7" s="43" t="s">
        <v>157</v>
      </c>
      <c r="G7" s="19"/>
      <c r="H7" s="45" t="s">
        <v>147</v>
      </c>
      <c r="I7" s="40" t="s">
        <v>151</v>
      </c>
    </row>
    <row r="8" spans="1:9">
      <c r="C8" s="38" t="s">
        <v>154</v>
      </c>
      <c r="D8"/>
      <c r="E8"/>
      <c r="F8" s="43" t="s">
        <v>159</v>
      </c>
      <c r="G8" s="19"/>
      <c r="H8" s="44" t="s">
        <v>149</v>
      </c>
      <c r="I8" s="40" t="s">
        <v>153</v>
      </c>
    </row>
    <row r="9" spans="1:9">
      <c r="C9" s="38" t="s">
        <v>156</v>
      </c>
      <c r="D9"/>
      <c r="E9"/>
      <c r="F9" s="43" t="s">
        <v>162</v>
      </c>
      <c r="G9" s="19"/>
      <c r="H9" s="44" t="s">
        <v>149</v>
      </c>
      <c r="I9" s="40" t="s">
        <v>117</v>
      </c>
    </row>
    <row r="10" spans="1:9">
      <c r="C10" s="38" t="s">
        <v>158</v>
      </c>
      <c r="D10"/>
      <c r="E10"/>
      <c r="F10" s="43" t="s">
        <v>165</v>
      </c>
      <c r="G10" s="19"/>
      <c r="H10" s="44" t="s">
        <v>155</v>
      </c>
      <c r="I10" s="40" t="s">
        <v>160</v>
      </c>
    </row>
    <row r="11" spans="1:9">
      <c r="C11" s="38" t="s">
        <v>161</v>
      </c>
      <c r="D11"/>
      <c r="E11"/>
      <c r="F11" s="43" t="s">
        <v>167</v>
      </c>
      <c r="G11" s="19"/>
      <c r="H11" s="44" t="s">
        <v>157</v>
      </c>
      <c r="I11" s="40" t="s">
        <v>163</v>
      </c>
    </row>
    <row r="12" spans="1:9">
      <c r="C12" s="47" t="s">
        <v>164</v>
      </c>
      <c r="D12"/>
      <c r="E12"/>
      <c r="F12" s="43" t="s">
        <v>169</v>
      </c>
      <c r="G12" s="19"/>
      <c r="H12" s="44" t="s">
        <v>157</v>
      </c>
      <c r="I12" s="40" t="s">
        <v>166</v>
      </c>
    </row>
    <row r="13" spans="1:9">
      <c r="D13"/>
      <c r="E13"/>
      <c r="F13" s="43" t="s">
        <v>171</v>
      </c>
      <c r="G13" s="19"/>
      <c r="H13" s="44" t="s">
        <v>159</v>
      </c>
      <c r="I13" s="40" t="s">
        <v>168</v>
      </c>
    </row>
    <row r="14" spans="1:9">
      <c r="D14"/>
      <c r="E14"/>
      <c r="F14" s="43" t="s">
        <v>173</v>
      </c>
      <c r="G14" s="19"/>
      <c r="H14" s="44" t="s">
        <v>159</v>
      </c>
      <c r="I14" s="40" t="s">
        <v>170</v>
      </c>
    </row>
    <row r="15" spans="1:9">
      <c r="D15"/>
      <c r="E15"/>
      <c r="F15" s="43" t="s">
        <v>174</v>
      </c>
      <c r="G15" s="19"/>
      <c r="H15" s="44" t="s">
        <v>159</v>
      </c>
      <c r="I15" s="40" t="s">
        <v>439</v>
      </c>
    </row>
    <row r="16" spans="1:9">
      <c r="D16"/>
      <c r="E16"/>
      <c r="F16" s="43" t="s">
        <v>175</v>
      </c>
      <c r="G16" s="19"/>
      <c r="H16" s="44" t="s">
        <v>162</v>
      </c>
      <c r="I16" s="40" t="s">
        <v>172</v>
      </c>
    </row>
    <row r="17" spans="1:9">
      <c r="D17"/>
      <c r="E17"/>
      <c r="F17" s="43" t="s">
        <v>177</v>
      </c>
      <c r="G17" s="19"/>
      <c r="H17" s="44" t="s">
        <v>162</v>
      </c>
      <c r="I17" s="40" t="s">
        <v>143</v>
      </c>
    </row>
    <row r="18" spans="1:9">
      <c r="D18"/>
      <c r="E18"/>
      <c r="G18" s="19"/>
      <c r="H18" s="44" t="s">
        <v>162</v>
      </c>
      <c r="I18" s="40" t="s">
        <v>146</v>
      </c>
    </row>
    <row r="19" spans="1:9">
      <c r="D19"/>
      <c r="E19"/>
      <c r="G19" s="19"/>
      <c r="H19" s="44" t="s">
        <v>165</v>
      </c>
      <c r="I19" s="40" t="s">
        <v>176</v>
      </c>
    </row>
    <row r="20" spans="1:9">
      <c r="D20"/>
      <c r="E20"/>
      <c r="G20" s="19"/>
      <c r="H20" s="44" t="s">
        <v>167</v>
      </c>
      <c r="I20" s="40" t="s">
        <v>178</v>
      </c>
    </row>
    <row r="21" spans="1:9">
      <c r="A21" s="46" t="s">
        <v>393</v>
      </c>
      <c r="C21" s="46" t="s">
        <v>194</v>
      </c>
      <c r="D21"/>
      <c r="E21"/>
      <c r="G21" s="19"/>
      <c r="H21" s="44" t="s">
        <v>167</v>
      </c>
      <c r="I21" s="40" t="s">
        <v>440</v>
      </c>
    </row>
    <row r="22" spans="1:9">
      <c r="A22" s="38" t="s">
        <v>420</v>
      </c>
      <c r="C22" s="38" t="s">
        <v>195</v>
      </c>
      <c r="D22"/>
      <c r="E22"/>
      <c r="G22" s="19"/>
      <c r="H22" s="44" t="s">
        <v>169</v>
      </c>
      <c r="I22" s="40" t="s">
        <v>179</v>
      </c>
    </row>
    <row r="23" spans="1:9">
      <c r="A23" s="38" t="s">
        <v>394</v>
      </c>
      <c r="C23" s="38" t="s">
        <v>196</v>
      </c>
      <c r="D23"/>
      <c r="E23"/>
      <c r="G23" s="19"/>
      <c r="H23" s="44" t="s">
        <v>171</v>
      </c>
      <c r="I23" s="40" t="s">
        <v>180</v>
      </c>
    </row>
    <row r="24" spans="1:9">
      <c r="C24" s="38" t="s">
        <v>197</v>
      </c>
      <c r="D24"/>
      <c r="E24"/>
      <c r="G24" s="19"/>
      <c r="H24" s="44" t="s">
        <v>171</v>
      </c>
      <c r="I24" s="40" t="s">
        <v>181</v>
      </c>
    </row>
    <row r="25" spans="1:9">
      <c r="C25" s="38" t="s">
        <v>51</v>
      </c>
      <c r="D25"/>
      <c r="E25"/>
      <c r="G25" s="19"/>
      <c r="H25" s="44" t="s">
        <v>173</v>
      </c>
      <c r="I25" s="40" t="s">
        <v>182</v>
      </c>
    </row>
    <row r="26" spans="1:9">
      <c r="D26"/>
      <c r="E26"/>
      <c r="G26" s="19"/>
      <c r="H26" s="44" t="s">
        <v>173</v>
      </c>
      <c r="I26" s="40" t="s">
        <v>183</v>
      </c>
    </row>
    <row r="27" spans="1:9">
      <c r="C27" s="46" t="s">
        <v>199</v>
      </c>
      <c r="D27"/>
      <c r="E27"/>
      <c r="G27" s="19"/>
      <c r="H27" s="44" t="s">
        <v>173</v>
      </c>
      <c r="I27" s="40" t="s">
        <v>184</v>
      </c>
    </row>
    <row r="28" spans="1:9">
      <c r="C28" s="38" t="s">
        <v>22</v>
      </c>
      <c r="D28"/>
      <c r="E28"/>
      <c r="G28" s="19"/>
      <c r="H28" s="44" t="s">
        <v>173</v>
      </c>
      <c r="I28" s="40" t="s">
        <v>187</v>
      </c>
    </row>
    <row r="29" spans="1:9">
      <c r="C29" s="38" t="s">
        <v>23</v>
      </c>
      <c r="D29"/>
      <c r="E29"/>
      <c r="G29" s="19"/>
      <c r="H29" s="44" t="s">
        <v>185</v>
      </c>
      <c r="I29" s="40" t="s">
        <v>143</v>
      </c>
    </row>
    <row r="30" spans="1:9">
      <c r="C30" s="38" t="s">
        <v>24</v>
      </c>
      <c r="D30"/>
      <c r="E30"/>
      <c r="G30" s="19"/>
      <c r="H30" s="44" t="s">
        <v>185</v>
      </c>
      <c r="I30" s="40" t="s">
        <v>146</v>
      </c>
    </row>
    <row r="31" spans="1:9">
      <c r="C31" s="38" t="s">
        <v>25</v>
      </c>
      <c r="D31"/>
      <c r="E31"/>
      <c r="G31" s="19"/>
      <c r="H31" s="44" t="s">
        <v>175</v>
      </c>
      <c r="I31" s="40" t="s">
        <v>186</v>
      </c>
    </row>
    <row r="32" spans="1:9">
      <c r="C32" s="38" t="s">
        <v>26</v>
      </c>
      <c r="D32"/>
      <c r="E32"/>
      <c r="G32" s="19"/>
      <c r="H32" s="44" t="s">
        <v>175</v>
      </c>
      <c r="I32" s="40" t="s">
        <v>187</v>
      </c>
    </row>
    <row r="33" spans="3:9">
      <c r="D33"/>
      <c r="E33"/>
      <c r="G33" s="19"/>
      <c r="H33" s="44" t="s">
        <v>177</v>
      </c>
      <c r="I33" s="40" t="s">
        <v>188</v>
      </c>
    </row>
    <row r="34" spans="3:9">
      <c r="C34" s="46" t="s">
        <v>200</v>
      </c>
      <c r="D34"/>
      <c r="E34"/>
      <c r="G34" s="19"/>
      <c r="H34" s="44" t="s">
        <v>177</v>
      </c>
      <c r="I34" s="40" t="s">
        <v>189</v>
      </c>
    </row>
    <row r="35" spans="3:9">
      <c r="C35" s="38" t="s">
        <v>201</v>
      </c>
      <c r="D35"/>
      <c r="E35"/>
      <c r="F35" s="19"/>
      <c r="G35" s="19"/>
      <c r="H35" s="22"/>
    </row>
    <row r="36" spans="3:9">
      <c r="C36" s="38" t="s">
        <v>202</v>
      </c>
      <c r="D36"/>
      <c r="E36"/>
      <c r="F36" s="19"/>
      <c r="G36" s="19"/>
      <c r="H36" s="22"/>
    </row>
    <row r="37" spans="3:9">
      <c r="C37" s="38" t="s">
        <v>203</v>
      </c>
      <c r="D37"/>
      <c r="E37"/>
      <c r="F37" s="19"/>
      <c r="G37" s="22"/>
      <c r="H37" s="22"/>
    </row>
    <row r="38" spans="3:9">
      <c r="C38" s="38" t="s">
        <v>204</v>
      </c>
      <c r="D38"/>
      <c r="E38"/>
      <c r="G38" s="22"/>
      <c r="H38" s="22"/>
    </row>
    <row r="39" spans="3:9">
      <c r="D39"/>
      <c r="E39"/>
      <c r="G39" s="22"/>
      <c r="H39" s="22"/>
    </row>
    <row r="40" spans="3:9" ht="28.8">
      <c r="C40" s="46" t="s">
        <v>206</v>
      </c>
      <c r="D40"/>
      <c r="E40" s="46" t="s">
        <v>388</v>
      </c>
    </row>
    <row r="41" spans="3:9">
      <c r="C41" s="38" t="s">
        <v>50</v>
      </c>
      <c r="D41"/>
      <c r="E41" s="40" t="s">
        <v>32</v>
      </c>
    </row>
    <row r="42" spans="3:9">
      <c r="C42" s="38" t="s">
        <v>32</v>
      </c>
      <c r="D42"/>
      <c r="E42" s="38" t="s">
        <v>303</v>
      </c>
    </row>
    <row r="43" spans="3:9">
      <c r="C43" s="38" t="s">
        <v>207</v>
      </c>
      <c r="D43"/>
      <c r="E43" s="38" t="s">
        <v>387</v>
      </c>
    </row>
    <row r="44" spans="3:9">
      <c r="C44" s="38" t="s">
        <v>303</v>
      </c>
      <c r="D44"/>
      <c r="E44" s="38" t="s">
        <v>386</v>
      </c>
    </row>
    <row r="45" spans="3:9">
      <c r="D45"/>
      <c r="E45" s="38" t="s">
        <v>50</v>
      </c>
    </row>
    <row r="46" spans="3:9">
      <c r="D46"/>
      <c r="E46"/>
    </row>
    <row r="47" spans="3:9">
      <c r="D47"/>
      <c r="E47"/>
    </row>
    <row r="48" spans="3:9">
      <c r="D48"/>
      <c r="E48"/>
    </row>
    <row r="49" spans="1:7">
      <c r="D49"/>
      <c r="E49"/>
    </row>
    <row r="50" spans="1:7" ht="28.8">
      <c r="A50" s="136" t="s">
        <v>221</v>
      </c>
      <c r="B50" s="136" t="s">
        <v>222</v>
      </c>
      <c r="C50" s="136" t="s">
        <v>223</v>
      </c>
      <c r="D50" s="136" t="s">
        <v>263</v>
      </c>
      <c r="E50" s="133" t="s">
        <v>405</v>
      </c>
    </row>
    <row r="51" spans="1:7" ht="16.2">
      <c r="A51" s="65" t="s">
        <v>313</v>
      </c>
      <c r="B51" s="65">
        <v>48</v>
      </c>
      <c r="C51" s="65">
        <v>56.17</v>
      </c>
      <c r="D51" s="79">
        <f>C51*3.66*11/1000</f>
        <v>2.2614041999999999</v>
      </c>
      <c r="E51" s="137">
        <f>B51/3.6</f>
        <v>13.333333333333332</v>
      </c>
    </row>
    <row r="52" spans="1:7" ht="16.2">
      <c r="A52" s="83" t="s">
        <v>314</v>
      </c>
      <c r="B52" s="78">
        <v>44.3</v>
      </c>
      <c r="C52" s="78">
        <v>63.1</v>
      </c>
      <c r="D52" s="80">
        <f>C52*3.66*11/1000</f>
        <v>2.5404060000000004</v>
      </c>
      <c r="E52" s="137">
        <f t="shared" ref="E52:E59" si="0">B52/3.6</f>
        <v>12.305555555555554</v>
      </c>
    </row>
    <row r="53" spans="1:7">
      <c r="A53" s="65" t="s">
        <v>315</v>
      </c>
      <c r="B53" s="65">
        <v>22.51</v>
      </c>
      <c r="C53" s="65">
        <v>94.75</v>
      </c>
      <c r="D53" s="79">
        <f t="shared" ref="D53:D63" si="1">C53*3.66</f>
        <v>346.78500000000003</v>
      </c>
      <c r="E53" s="137">
        <f t="shared" si="0"/>
        <v>6.2527777777777782</v>
      </c>
    </row>
    <row r="54" spans="1:7">
      <c r="A54" s="65" t="s">
        <v>316</v>
      </c>
      <c r="B54" s="65">
        <v>8.17</v>
      </c>
      <c r="C54" s="65">
        <v>110.54</v>
      </c>
      <c r="D54" s="79">
        <f t="shared" si="1"/>
        <v>404.57640000000004</v>
      </c>
      <c r="E54" s="137">
        <f t="shared" si="0"/>
        <v>2.2694444444444444</v>
      </c>
    </row>
    <row r="55" spans="1:7" ht="15" thickBot="1">
      <c r="A55" s="65" t="s">
        <v>317</v>
      </c>
      <c r="B55" s="65">
        <v>15.6</v>
      </c>
      <c r="C55" s="65">
        <v>112</v>
      </c>
      <c r="D55" s="79">
        <v>0</v>
      </c>
      <c r="E55" s="137">
        <f t="shared" si="0"/>
        <v>4.333333333333333</v>
      </c>
    </row>
    <row r="56" spans="1:7" ht="17.399999999999999" thickBot="1">
      <c r="A56" s="65" t="s">
        <v>318</v>
      </c>
      <c r="B56" s="65">
        <v>15.6</v>
      </c>
      <c r="C56" s="65">
        <v>112</v>
      </c>
      <c r="D56" s="79">
        <v>0</v>
      </c>
      <c r="E56" s="137">
        <f t="shared" si="0"/>
        <v>4.333333333333333</v>
      </c>
      <c r="F56" s="135"/>
    </row>
    <row r="57" spans="1:7" ht="17.399999999999999" thickBot="1">
      <c r="A57" s="65" t="s">
        <v>319</v>
      </c>
      <c r="B57" s="65">
        <v>50.4</v>
      </c>
      <c r="C57" s="65">
        <v>54</v>
      </c>
      <c r="D57" s="79">
        <f>C57*3.66*11/1000</f>
        <v>2.1740399999999998</v>
      </c>
      <c r="E57" s="137">
        <f t="shared" si="0"/>
        <v>14</v>
      </c>
      <c r="F57" s="135"/>
    </row>
    <row r="58" spans="1:7" ht="17.399999999999999" thickBot="1">
      <c r="A58" s="65" t="s">
        <v>320</v>
      </c>
      <c r="B58" s="65">
        <v>20.7</v>
      </c>
      <c r="C58" s="65">
        <v>97.5</v>
      </c>
      <c r="D58" s="79">
        <f t="shared" si="1"/>
        <v>356.85</v>
      </c>
      <c r="E58" s="137">
        <f t="shared" si="0"/>
        <v>5.75</v>
      </c>
      <c r="F58" s="135"/>
      <c r="G58" s="110"/>
    </row>
    <row r="59" spans="1:7" ht="17.399999999999999" thickBot="1">
      <c r="A59" s="65" t="s">
        <v>321</v>
      </c>
      <c r="B59" s="65">
        <v>20.7</v>
      </c>
      <c r="C59" s="65">
        <v>97.5</v>
      </c>
      <c r="D59" s="79">
        <f t="shared" si="1"/>
        <v>356.85</v>
      </c>
      <c r="E59" s="137">
        <f t="shared" si="0"/>
        <v>5.75</v>
      </c>
      <c r="F59" s="135"/>
      <c r="G59" s="110"/>
    </row>
    <row r="60" spans="1:7" ht="17.399999999999999" thickBot="1">
      <c r="A60" s="131" t="s">
        <v>322</v>
      </c>
      <c r="B60" s="131">
        <v>28.2</v>
      </c>
      <c r="C60" s="131">
        <v>102</v>
      </c>
      <c r="D60" s="132">
        <f t="shared" si="1"/>
        <v>373.32</v>
      </c>
      <c r="E60" s="132"/>
      <c r="F60" s="135"/>
      <c r="G60" s="110"/>
    </row>
    <row r="61" spans="1:7" ht="17.399999999999999" thickBot="1">
      <c r="A61" s="131" t="s">
        <v>323</v>
      </c>
      <c r="B61" s="131">
        <v>28.5</v>
      </c>
      <c r="C61" s="131">
        <v>108</v>
      </c>
      <c r="D61" s="132">
        <f t="shared" si="1"/>
        <v>395.28000000000003</v>
      </c>
      <c r="E61" s="132"/>
      <c r="F61" s="135"/>
      <c r="G61" s="110"/>
    </row>
    <row r="62" spans="1:7" ht="17.399999999999999" thickBot="1">
      <c r="A62" s="131" t="s">
        <v>324</v>
      </c>
      <c r="B62" s="131">
        <v>43.3</v>
      </c>
      <c r="C62" s="131">
        <v>74.099999999999994</v>
      </c>
      <c r="D62" s="132">
        <f t="shared" si="1"/>
        <v>271.20600000000002</v>
      </c>
      <c r="E62" s="132"/>
      <c r="F62" s="135"/>
      <c r="G62" s="110"/>
    </row>
    <row r="63" spans="1:7" ht="17.399999999999999" thickBot="1">
      <c r="A63" s="131" t="s">
        <v>325</v>
      </c>
      <c r="B63" s="131">
        <v>42.3</v>
      </c>
      <c r="C63" s="131">
        <v>73.3</v>
      </c>
      <c r="D63" s="132">
        <f t="shared" si="1"/>
        <v>268.27800000000002</v>
      </c>
      <c r="E63" s="132"/>
      <c r="F63" s="135"/>
      <c r="G63" s="110"/>
    </row>
    <row r="64" spans="1:7" ht="17.399999999999999" thickBot="1">
      <c r="A64" s="131" t="s">
        <v>326</v>
      </c>
      <c r="B64" s="131">
        <v>44.3</v>
      </c>
      <c r="C64" s="131">
        <v>71.5</v>
      </c>
      <c r="D64" s="132">
        <f t="shared" ref="D64:D74" si="2">C64*3.66</f>
        <v>261.69</v>
      </c>
      <c r="E64" s="132"/>
      <c r="F64" s="135"/>
      <c r="G64" s="110"/>
    </row>
    <row r="65" spans="1:7" ht="17.399999999999999" thickBot="1">
      <c r="A65" s="131" t="s">
        <v>327</v>
      </c>
      <c r="B65" s="131">
        <v>43.4</v>
      </c>
      <c r="C65" s="131">
        <v>71.5</v>
      </c>
      <c r="D65" s="132">
        <f t="shared" si="2"/>
        <v>261.69</v>
      </c>
      <c r="E65" s="132"/>
      <c r="F65" s="135"/>
      <c r="G65" s="110"/>
    </row>
    <row r="66" spans="1:7" ht="17.399999999999999" thickBot="1">
      <c r="A66" s="131" t="s">
        <v>328</v>
      </c>
      <c r="B66" s="131">
        <v>38.700000000000003</v>
      </c>
      <c r="C66" s="131">
        <v>44.4</v>
      </c>
      <c r="D66" s="132">
        <f t="shared" si="2"/>
        <v>162.50399999999999</v>
      </c>
      <c r="E66" s="132"/>
      <c r="F66" s="135"/>
      <c r="G66" s="110"/>
    </row>
    <row r="67" spans="1:7" ht="17.399999999999999" thickBot="1">
      <c r="A67" s="131" t="s">
        <v>329</v>
      </c>
      <c r="B67" s="131">
        <v>49.5</v>
      </c>
      <c r="C67" s="131">
        <v>73.3</v>
      </c>
      <c r="D67" s="132">
        <f t="shared" si="2"/>
        <v>268.27800000000002</v>
      </c>
      <c r="E67" s="132"/>
      <c r="F67" s="135"/>
      <c r="G67" s="110"/>
    </row>
    <row r="68" spans="1:7" ht="17.399999999999999" thickBot="1">
      <c r="A68" s="131" t="s">
        <v>330</v>
      </c>
      <c r="B68" s="131">
        <v>2.4700000000000002</v>
      </c>
      <c r="C68" s="131">
        <v>260.39999999999998</v>
      </c>
      <c r="D68" s="132">
        <f t="shared" si="2"/>
        <v>953.06399999999996</v>
      </c>
      <c r="E68" s="132"/>
      <c r="F68" s="135"/>
      <c r="G68" s="110"/>
    </row>
    <row r="69" spans="1:7" ht="17.399999999999999" thickBot="1">
      <c r="A69" s="131" t="s">
        <v>331</v>
      </c>
      <c r="B69" s="131">
        <v>40.200000000000003</v>
      </c>
      <c r="C69" s="131">
        <v>73.3</v>
      </c>
      <c r="D69" s="132">
        <f t="shared" si="2"/>
        <v>268.27800000000002</v>
      </c>
      <c r="E69" s="132"/>
      <c r="F69" s="135"/>
      <c r="G69" s="110"/>
    </row>
    <row r="70" spans="1:7" ht="17.399999999999999" thickBot="1">
      <c r="A70" s="131" t="s">
        <v>332</v>
      </c>
      <c r="B70" s="131">
        <v>10.199999999999999</v>
      </c>
      <c r="C70" s="131">
        <v>110</v>
      </c>
      <c r="D70" s="132">
        <f t="shared" si="2"/>
        <v>402.6</v>
      </c>
      <c r="E70" s="132"/>
      <c r="F70" s="135"/>
      <c r="G70" s="110"/>
    </row>
    <row r="71" spans="1:7" ht="17.399999999999999" thickBot="1">
      <c r="A71" s="131" t="s">
        <v>333</v>
      </c>
      <c r="B71" s="131">
        <v>11</v>
      </c>
      <c r="C71" s="131">
        <v>91.7</v>
      </c>
      <c r="D71" s="132">
        <f t="shared" si="2"/>
        <v>335.62200000000001</v>
      </c>
      <c r="E71" s="132"/>
      <c r="F71" s="135"/>
      <c r="G71" s="110"/>
    </row>
    <row r="72" spans="1:7" ht="17.399999999999999" thickBot="1">
      <c r="A72" s="131" t="s">
        <v>334</v>
      </c>
      <c r="B72" s="131">
        <v>10</v>
      </c>
      <c r="C72" s="131">
        <v>143</v>
      </c>
      <c r="D72" s="132">
        <f t="shared" si="2"/>
        <v>523.38</v>
      </c>
      <c r="E72" s="132"/>
      <c r="F72" s="135"/>
      <c r="G72" s="110"/>
    </row>
    <row r="73" spans="1:7" ht="17.399999999999999" thickBot="1">
      <c r="A73" s="131" t="s">
        <v>335</v>
      </c>
      <c r="B73" s="131">
        <v>43.1</v>
      </c>
      <c r="C73" s="131">
        <v>69.8</v>
      </c>
      <c r="D73" s="132">
        <f t="shared" si="2"/>
        <v>255.46799999999999</v>
      </c>
      <c r="E73" s="132"/>
      <c r="F73" s="22"/>
      <c r="G73" s="110"/>
    </row>
    <row r="74" spans="1:7" ht="17.399999999999999" thickBot="1">
      <c r="A74" s="131" t="s">
        <v>336</v>
      </c>
      <c r="B74" s="131">
        <v>44.8</v>
      </c>
      <c r="C74" s="131">
        <v>73.3</v>
      </c>
      <c r="D74" s="132">
        <f t="shared" si="2"/>
        <v>268.27800000000002</v>
      </c>
      <c r="E74" s="132"/>
      <c r="G74" s="110"/>
    </row>
    <row r="75" spans="1:7">
      <c r="E75" s="19"/>
    </row>
    <row r="77" spans="1:7">
      <c r="A77" s="46" t="s">
        <v>388</v>
      </c>
      <c r="B77" s="136" t="s">
        <v>221</v>
      </c>
    </row>
    <row r="78" spans="1:7" ht="16.8">
      <c r="A78" s="134" t="s">
        <v>303</v>
      </c>
      <c r="B78" s="65" t="s">
        <v>313</v>
      </c>
    </row>
    <row r="79" spans="1:7" ht="73.8">
      <c r="A79" s="134" t="s">
        <v>303</v>
      </c>
      <c r="B79" s="83" t="s">
        <v>314</v>
      </c>
    </row>
    <row r="80" spans="1:7" ht="16.8">
      <c r="A80" s="134" t="s">
        <v>303</v>
      </c>
      <c r="B80" s="65" t="s">
        <v>319</v>
      </c>
    </row>
    <row r="81" spans="1:2" ht="16.8">
      <c r="A81" s="134" t="s">
        <v>386</v>
      </c>
      <c r="B81" s="65" t="s">
        <v>315</v>
      </c>
    </row>
    <row r="82" spans="1:2" ht="16.8">
      <c r="A82" s="134" t="s">
        <v>386</v>
      </c>
      <c r="B82" s="65" t="s">
        <v>316</v>
      </c>
    </row>
    <row r="83" spans="1:2" ht="16.8">
      <c r="A83" s="134" t="s">
        <v>408</v>
      </c>
      <c r="B83" s="65" t="s">
        <v>317</v>
      </c>
    </row>
    <row r="84" spans="1:2" ht="16.8">
      <c r="A84" s="134" t="s">
        <v>386</v>
      </c>
      <c r="B84" s="65" t="s">
        <v>320</v>
      </c>
    </row>
    <row r="85" spans="1:2" ht="16.8">
      <c r="A85" s="134" t="s">
        <v>386</v>
      </c>
      <c r="B85" s="65" t="s">
        <v>321</v>
      </c>
    </row>
    <row r="86" spans="1:2" ht="16.8">
      <c r="A86" s="134" t="s">
        <v>386</v>
      </c>
      <c r="B86" s="65" t="s">
        <v>318</v>
      </c>
    </row>
    <row r="87" spans="1:2" ht="16.2">
      <c r="A87" s="38" t="s">
        <v>387</v>
      </c>
      <c r="B87" s="65" t="s">
        <v>318</v>
      </c>
    </row>
    <row r="88" spans="1:2" ht="16.8">
      <c r="A88" s="134" t="s">
        <v>32</v>
      </c>
      <c r="B88" s="65" t="s">
        <v>317</v>
      </c>
    </row>
  </sheetData>
  <sheetProtection sheet="1" objects="1" scenarios="1"/>
  <autoFilter ref="A50:D50" xr:uid="{45988F54-44B9-4E3E-8CF8-01F1229BC1B9}">
    <sortState xmlns:xlrd2="http://schemas.microsoft.com/office/spreadsheetml/2017/richdata2" ref="A51:D73">
      <sortCondition ref="A50"/>
    </sortState>
  </autoFilter>
  <sortState xmlns:xlrd2="http://schemas.microsoft.com/office/spreadsheetml/2017/richdata2" ref="G1:G18">
    <sortCondition ref="G1:G18"/>
  </sortState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DEFA-DA9A-4C58-9EC7-BA5CD14B4D43}">
  <dimension ref="A1:L6"/>
  <sheetViews>
    <sheetView workbookViewId="0">
      <selection activeCell="M18" sqref="M18"/>
    </sheetView>
  </sheetViews>
  <sheetFormatPr defaultRowHeight="14.4"/>
  <cols>
    <col min="2" max="2" width="10.77734375" customWidth="1"/>
  </cols>
  <sheetData>
    <row r="1" spans="1:12">
      <c r="A1" s="457" t="s">
        <v>190</v>
      </c>
      <c r="B1" s="457"/>
      <c r="C1" s="457"/>
      <c r="E1" s="457" t="s">
        <v>50</v>
      </c>
      <c r="F1" s="457"/>
      <c r="G1" s="457"/>
      <c r="I1" s="457" t="s">
        <v>49</v>
      </c>
      <c r="J1" s="457"/>
      <c r="K1" s="457"/>
    </row>
    <row r="2" spans="1:12">
      <c r="A2" s="38" t="s">
        <v>191</v>
      </c>
      <c r="B2" s="38" t="s">
        <v>192</v>
      </c>
      <c r="C2" s="38" t="s">
        <v>193</v>
      </c>
      <c r="E2" s="38" t="s">
        <v>191</v>
      </c>
      <c r="F2" s="38" t="s">
        <v>192</v>
      </c>
      <c r="G2" s="38" t="s">
        <v>193</v>
      </c>
      <c r="I2" s="38" t="s">
        <v>191</v>
      </c>
      <c r="J2" s="38" t="s">
        <v>192</v>
      </c>
      <c r="K2" s="38" t="s">
        <v>193</v>
      </c>
    </row>
    <row r="3" spans="1:12">
      <c r="A3" s="38">
        <v>10</v>
      </c>
      <c r="B3" s="38"/>
      <c r="C3" s="53">
        <v>3500</v>
      </c>
      <c r="E3" s="38">
        <v>8</v>
      </c>
      <c r="F3" s="38"/>
      <c r="G3" s="53">
        <v>4700</v>
      </c>
      <c r="H3" s="130"/>
      <c r="I3" s="38">
        <v>5</v>
      </c>
      <c r="J3" s="38"/>
      <c r="K3" s="53">
        <v>3500</v>
      </c>
      <c r="L3" s="130"/>
    </row>
    <row r="4" spans="1:12">
      <c r="A4" s="38">
        <v>7</v>
      </c>
      <c r="B4" s="38">
        <v>10</v>
      </c>
      <c r="C4" s="53">
        <v>4000</v>
      </c>
      <c r="E4" s="38">
        <v>0</v>
      </c>
      <c r="F4" s="38">
        <v>8</v>
      </c>
      <c r="G4" s="53">
        <v>5400</v>
      </c>
      <c r="H4" s="130"/>
      <c r="I4" s="38">
        <v>0</v>
      </c>
      <c r="J4" s="38">
        <v>5</v>
      </c>
      <c r="K4" s="53">
        <v>5000</v>
      </c>
      <c r="L4" s="130"/>
    </row>
    <row r="5" spans="1:12">
      <c r="A5" s="38">
        <v>4</v>
      </c>
      <c r="B5" s="38">
        <v>7</v>
      </c>
      <c r="C5" s="53">
        <v>4500</v>
      </c>
    </row>
    <row r="6" spans="1:12">
      <c r="A6" s="38">
        <v>0</v>
      </c>
      <c r="B6" s="38">
        <v>4</v>
      </c>
      <c r="C6" s="53">
        <v>5500</v>
      </c>
    </row>
  </sheetData>
  <sheetProtection sheet="1" objects="1" scenarios="1"/>
  <mergeCells count="3">
    <mergeCell ref="A1:C1"/>
    <mergeCell ref="E1:G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9F7A-8F17-44CB-8701-DB44ABADB893}">
  <sheetPr codeName="Arkusz1">
    <tabColor theme="5" tint="0.39997558519241921"/>
  </sheetPr>
  <dimension ref="A1:R175"/>
  <sheetViews>
    <sheetView showGridLines="0" tabSelected="1" zoomScale="90" zoomScaleNormal="90" workbookViewId="0">
      <selection activeCell="I3" sqref="I3"/>
    </sheetView>
  </sheetViews>
  <sheetFormatPr defaultColWidth="9.21875" defaultRowHeight="14.4"/>
  <cols>
    <col min="1" max="1" width="3.77734375" style="48" customWidth="1"/>
    <col min="2" max="2" width="32.44140625" style="48" customWidth="1"/>
    <col min="3" max="3" width="4.21875" style="48" customWidth="1"/>
    <col min="4" max="4" width="30.77734375" style="48" customWidth="1"/>
    <col min="5" max="5" width="4.21875" style="48" customWidth="1"/>
    <col min="6" max="6" width="32.44140625" style="48" customWidth="1"/>
    <col min="7" max="7" width="25.21875" style="48" customWidth="1"/>
    <col min="8" max="8" width="22.77734375" style="56" customWidth="1"/>
    <col min="9" max="9" width="18.21875" style="48" customWidth="1"/>
    <col min="10" max="10" width="15.77734375" style="48" customWidth="1"/>
    <col min="11" max="17" width="9.21875" style="48"/>
    <col min="18" max="18" width="4" style="48" customWidth="1"/>
    <col min="19" max="16384" width="9.21875" style="48"/>
  </cols>
  <sheetData>
    <row r="1" spans="1:9" ht="88.8" customHeight="1" thickBot="1">
      <c r="A1" s="236" t="s">
        <v>362</v>
      </c>
      <c r="B1" s="237"/>
      <c r="C1" s="237"/>
      <c r="D1" s="237"/>
      <c r="E1" s="237"/>
      <c r="F1" s="237"/>
      <c r="G1" s="238"/>
      <c r="I1" s="49"/>
    </row>
    <row r="2" spans="1:9" ht="33.6" customHeight="1" thickBot="1">
      <c r="A2" s="239" t="s">
        <v>11</v>
      </c>
      <c r="B2" s="240"/>
      <c r="C2" s="253"/>
      <c r="D2" s="254"/>
      <c r="E2" s="254"/>
      <c r="F2" s="254"/>
      <c r="G2" s="255"/>
      <c r="H2" s="51"/>
      <c r="I2" s="49"/>
    </row>
    <row r="3" spans="1:9" ht="33.6" customHeight="1" thickBot="1">
      <c r="A3" s="239" t="s">
        <v>12</v>
      </c>
      <c r="B3" s="240"/>
      <c r="C3" s="241"/>
      <c r="D3" s="242"/>
      <c r="E3" s="242"/>
      <c r="F3" s="242"/>
      <c r="G3" s="243"/>
      <c r="H3" s="50"/>
      <c r="I3" s="50"/>
    </row>
    <row r="4" spans="1:9" ht="50.55" customHeight="1" thickBot="1">
      <c r="A4" s="239" t="s">
        <v>13</v>
      </c>
      <c r="B4" s="240"/>
      <c r="C4" s="241"/>
      <c r="D4" s="242"/>
      <c r="E4" s="242"/>
      <c r="F4" s="242"/>
      <c r="G4" s="243"/>
    </row>
    <row r="5" spans="1:9" ht="33.6" customHeight="1" thickBot="1">
      <c r="A5" s="239" t="s">
        <v>14</v>
      </c>
      <c r="B5" s="240"/>
      <c r="C5" s="244"/>
      <c r="D5" s="245"/>
      <c r="E5" s="245"/>
      <c r="F5" s="245"/>
      <c r="G5" s="246"/>
    </row>
    <row r="6" spans="1:9" ht="33.6" customHeight="1" thickBot="1">
      <c r="A6" s="239" t="s">
        <v>15</v>
      </c>
      <c r="B6" s="240"/>
      <c r="C6" s="241"/>
      <c r="D6" s="242"/>
      <c r="E6" s="242"/>
      <c r="F6" s="242"/>
      <c r="G6" s="243"/>
    </row>
    <row r="7" spans="1:9" ht="52.05" customHeight="1" thickBot="1">
      <c r="A7" s="239" t="s">
        <v>16</v>
      </c>
      <c r="B7" s="240"/>
      <c r="C7" s="247"/>
      <c r="D7" s="248"/>
      <c r="E7" s="248"/>
      <c r="F7" s="248"/>
      <c r="G7" s="249"/>
      <c r="H7" s="108" t="s">
        <v>291</v>
      </c>
    </row>
    <row r="8" spans="1:9" ht="54" customHeight="1" thickBot="1">
      <c r="A8" s="239" t="s">
        <v>211</v>
      </c>
      <c r="B8" s="240"/>
      <c r="C8" s="241"/>
      <c r="D8" s="242"/>
      <c r="E8" s="242"/>
      <c r="F8" s="242"/>
      <c r="G8" s="243"/>
      <c r="H8" s="108" t="s">
        <v>368</v>
      </c>
      <c r="I8" s="49"/>
    </row>
    <row r="9" spans="1:9" ht="41.55" customHeight="1" thickBot="1">
      <c r="A9" s="239" t="s">
        <v>215</v>
      </c>
      <c r="B9" s="256"/>
      <c r="C9" s="241"/>
      <c r="D9" s="242"/>
      <c r="E9" s="242"/>
      <c r="F9" s="242"/>
      <c r="G9" s="243"/>
      <c r="H9" s="48"/>
      <c r="I9" s="49"/>
    </row>
    <row r="10" spans="1:9" ht="41.55" customHeight="1" thickBot="1">
      <c r="A10" s="239" t="s">
        <v>289</v>
      </c>
      <c r="B10" s="256"/>
      <c r="C10" s="241"/>
      <c r="D10" s="242"/>
      <c r="E10" s="242"/>
      <c r="F10" s="242"/>
      <c r="G10" s="243"/>
      <c r="H10" s="48"/>
      <c r="I10" s="49"/>
    </row>
    <row r="11" spans="1:9" ht="41.55" customHeight="1" thickBot="1">
      <c r="A11" s="180" t="s">
        <v>17</v>
      </c>
      <c r="B11" s="181"/>
      <c r="C11" s="181"/>
      <c r="D11" s="181"/>
      <c r="E11" s="181"/>
      <c r="F11" s="181"/>
      <c r="G11" s="182"/>
      <c r="H11" s="51"/>
    </row>
    <row r="12" spans="1:9" ht="41.55" customHeight="1" thickBot="1">
      <c r="A12" s="239" t="s">
        <v>18</v>
      </c>
      <c r="B12" s="240"/>
      <c r="C12" s="250"/>
      <c r="D12" s="251"/>
      <c r="E12" s="251"/>
      <c r="F12" s="251"/>
      <c r="G12" s="252"/>
      <c r="H12" s="57"/>
    </row>
    <row r="13" spans="1:9" ht="41.55" customHeight="1" thickBot="1">
      <c r="A13" s="239" t="s">
        <v>19</v>
      </c>
      <c r="B13" s="240"/>
      <c r="C13" s="250"/>
      <c r="D13" s="251"/>
      <c r="E13" s="251"/>
      <c r="F13" s="251"/>
      <c r="G13" s="252"/>
      <c r="H13" s="57"/>
    </row>
    <row r="14" spans="1:9" ht="28.35" customHeight="1" thickBot="1">
      <c r="A14" s="269" t="s">
        <v>198</v>
      </c>
      <c r="B14" s="270"/>
      <c r="C14" s="270"/>
      <c r="D14" s="270"/>
      <c r="E14" s="270"/>
      <c r="F14" s="270"/>
      <c r="G14" s="271"/>
    </row>
    <row r="15" spans="1:9" ht="54.6" customHeight="1" thickBot="1">
      <c r="A15" s="239" t="s">
        <v>254</v>
      </c>
      <c r="B15" s="256"/>
      <c r="C15" s="250"/>
      <c r="D15" s="251"/>
      <c r="E15" s="251"/>
      <c r="F15" s="251"/>
      <c r="G15" s="252"/>
    </row>
    <row r="16" spans="1:9" ht="38.25" customHeight="1" thickBot="1">
      <c r="A16" s="239" t="s">
        <v>20</v>
      </c>
      <c r="B16" s="240"/>
      <c r="C16" s="250"/>
      <c r="D16" s="251"/>
      <c r="E16" s="251"/>
      <c r="F16" s="251"/>
      <c r="G16" s="252"/>
      <c r="H16" s="108" t="s">
        <v>291</v>
      </c>
    </row>
    <row r="17" spans="1:9" ht="17.25" customHeight="1">
      <c r="A17" s="186" t="s">
        <v>21</v>
      </c>
      <c r="B17" s="287"/>
      <c r="C17" s="281"/>
      <c r="D17" s="282"/>
      <c r="E17" s="282"/>
      <c r="F17" s="282"/>
      <c r="G17" s="283"/>
    </row>
    <row r="18" spans="1:9" ht="16.5" customHeight="1">
      <c r="A18" s="189"/>
      <c r="B18" s="288"/>
      <c r="C18" s="284"/>
      <c r="D18" s="285"/>
      <c r="E18" s="285"/>
      <c r="F18" s="285"/>
      <c r="G18" s="286"/>
      <c r="H18" s="108" t="s">
        <v>291</v>
      </c>
    </row>
    <row r="19" spans="1:9" ht="16.5" customHeight="1" thickBot="1">
      <c r="A19" s="189"/>
      <c r="B19" s="288"/>
      <c r="C19" s="284"/>
      <c r="D19" s="285"/>
      <c r="E19" s="285"/>
      <c r="F19" s="285"/>
      <c r="G19" s="286"/>
      <c r="H19" s="109"/>
    </row>
    <row r="20" spans="1:9" ht="52.5" customHeight="1" thickBot="1">
      <c r="A20" s="239" t="s">
        <v>27</v>
      </c>
      <c r="B20" s="240"/>
      <c r="C20" s="247"/>
      <c r="D20" s="248"/>
      <c r="E20" s="248"/>
      <c r="F20" s="248"/>
      <c r="G20" s="249"/>
      <c r="H20" s="108" t="s">
        <v>291</v>
      </c>
    </row>
    <row r="21" spans="1:9" ht="52.5" customHeight="1" thickBot="1">
      <c r="A21" s="239" t="s">
        <v>290</v>
      </c>
      <c r="B21" s="240"/>
      <c r="C21" s="263"/>
      <c r="D21" s="264"/>
      <c r="E21" s="264"/>
      <c r="F21" s="264"/>
      <c r="G21" s="265"/>
      <c r="H21" s="51"/>
    </row>
    <row r="22" spans="1:9" ht="54" customHeight="1" thickBot="1">
      <c r="A22" s="239" t="s">
        <v>235</v>
      </c>
      <c r="B22" s="240"/>
      <c r="C22" s="266"/>
      <c r="D22" s="267"/>
      <c r="E22" s="267"/>
      <c r="F22" s="267"/>
      <c r="G22" s="268"/>
      <c r="H22" s="108" t="s">
        <v>291</v>
      </c>
    </row>
    <row r="23" spans="1:9" ht="44.25" customHeight="1" thickBot="1">
      <c r="A23" s="260" t="s">
        <v>28</v>
      </c>
      <c r="B23" s="261"/>
      <c r="C23" s="261"/>
      <c r="D23" s="262"/>
      <c r="E23" s="272"/>
      <c r="F23" s="273"/>
      <c r="G23" s="274"/>
      <c r="H23" s="58"/>
      <c r="I23" s="52"/>
    </row>
    <row r="24" spans="1:9" ht="41.55" customHeight="1" thickBot="1">
      <c r="A24" s="260" t="s">
        <v>29</v>
      </c>
      <c r="B24" s="261"/>
      <c r="C24" s="261"/>
      <c r="D24" s="262"/>
      <c r="E24" s="272"/>
      <c r="F24" s="273"/>
      <c r="G24" s="274"/>
      <c r="H24" s="58"/>
      <c r="I24" s="52"/>
    </row>
    <row r="25" spans="1:9" ht="41.55" customHeight="1" thickBot="1">
      <c r="A25" s="257" t="s">
        <v>30</v>
      </c>
      <c r="B25" s="258"/>
      <c r="C25" s="258"/>
      <c r="D25" s="259"/>
      <c r="E25" s="272"/>
      <c r="F25" s="273"/>
      <c r="G25" s="274"/>
      <c r="H25" s="58"/>
      <c r="I25" s="52"/>
    </row>
    <row r="26" spans="1:9" ht="41.55" customHeight="1" thickBot="1">
      <c r="A26" s="275" t="s">
        <v>380</v>
      </c>
      <c r="B26" s="276"/>
      <c r="C26" s="276"/>
      <c r="D26" s="277"/>
      <c r="E26" s="278"/>
      <c r="F26" s="279"/>
      <c r="G26" s="280"/>
      <c r="H26" s="128" t="s">
        <v>291</v>
      </c>
      <c r="I26" s="52"/>
    </row>
    <row r="27" spans="1:9" ht="41.55" customHeight="1" thickBot="1">
      <c r="A27" s="260" t="s">
        <v>381</v>
      </c>
      <c r="B27" s="261"/>
      <c r="C27" s="261"/>
      <c r="D27" s="262"/>
      <c r="E27" s="278"/>
      <c r="F27" s="279"/>
      <c r="G27" s="280"/>
      <c r="H27" s="128" t="s">
        <v>291</v>
      </c>
      <c r="I27" s="52"/>
    </row>
    <row r="28" spans="1:9" ht="41.55" customHeight="1" thickBot="1">
      <c r="A28" s="260" t="s">
        <v>382</v>
      </c>
      <c r="B28" s="261"/>
      <c r="C28" s="261"/>
      <c r="D28" s="262"/>
      <c r="E28" s="278"/>
      <c r="F28" s="279"/>
      <c r="G28" s="280"/>
      <c r="H28" s="128" t="s">
        <v>291</v>
      </c>
      <c r="I28" s="52"/>
    </row>
    <row r="29" spans="1:9" ht="55.5" customHeight="1" thickBot="1">
      <c r="A29" s="146" t="s">
        <v>369</v>
      </c>
      <c r="B29" s="147"/>
      <c r="C29" s="147"/>
      <c r="D29" s="147"/>
      <c r="E29" s="147"/>
      <c r="F29" s="147"/>
      <c r="G29" s="148"/>
      <c r="H29" s="57"/>
    </row>
    <row r="30" spans="1:9" ht="192.75" customHeight="1" thickBot="1">
      <c r="A30" s="199" t="s">
        <v>448</v>
      </c>
      <c r="B30" s="200"/>
      <c r="C30" s="200"/>
      <c r="D30" s="200"/>
      <c r="E30" s="200"/>
      <c r="F30" s="200"/>
      <c r="G30" s="201"/>
      <c r="H30" s="57"/>
    </row>
    <row r="31" spans="1:9" ht="167.55" customHeight="1" thickBot="1">
      <c r="A31" s="326"/>
      <c r="B31" s="327"/>
      <c r="C31" s="327"/>
      <c r="D31" s="327"/>
      <c r="E31" s="327"/>
      <c r="F31" s="327"/>
      <c r="G31" s="328"/>
      <c r="H31" s="57"/>
    </row>
    <row r="32" spans="1:9" ht="16.5" customHeight="1">
      <c r="A32" s="177" t="s">
        <v>229</v>
      </c>
      <c r="B32" s="178"/>
      <c r="C32" s="178"/>
      <c r="D32" s="179"/>
      <c r="E32" s="167"/>
      <c r="F32" s="168"/>
      <c r="G32" s="169"/>
      <c r="H32" s="57"/>
    </row>
    <row r="33" spans="1:8">
      <c r="A33" s="180"/>
      <c r="B33" s="181"/>
      <c r="C33" s="181"/>
      <c r="D33" s="182"/>
      <c r="E33" s="170"/>
      <c r="F33" s="171"/>
      <c r="G33" s="172"/>
      <c r="H33" s="57"/>
    </row>
    <row r="34" spans="1:8" ht="15" thickBot="1">
      <c r="A34" s="183"/>
      <c r="B34" s="184"/>
      <c r="C34" s="184"/>
      <c r="D34" s="185"/>
      <c r="E34" s="173"/>
      <c r="F34" s="174"/>
      <c r="G34" s="175"/>
      <c r="H34" s="57"/>
    </row>
    <row r="35" spans="1:8">
      <c r="A35" s="177" t="s">
        <v>395</v>
      </c>
      <c r="B35" s="178"/>
      <c r="C35" s="179"/>
      <c r="D35" s="168"/>
      <c r="E35" s="168"/>
      <c r="F35" s="168"/>
      <c r="G35" s="169"/>
      <c r="H35" s="192" t="s">
        <v>291</v>
      </c>
    </row>
    <row r="36" spans="1:8" ht="15" thickBot="1">
      <c r="A36" s="183"/>
      <c r="B36" s="184"/>
      <c r="C36" s="185"/>
      <c r="D36" s="174"/>
      <c r="E36" s="174"/>
      <c r="F36" s="174"/>
      <c r="G36" s="175"/>
      <c r="H36" s="192"/>
    </row>
    <row r="37" spans="1:8" ht="15" customHeight="1">
      <c r="A37" s="177" t="s">
        <v>396</v>
      </c>
      <c r="B37" s="178"/>
      <c r="C37" s="179"/>
      <c r="D37" s="193" t="s">
        <v>228</v>
      </c>
      <c r="E37" s="167"/>
      <c r="F37" s="168"/>
      <c r="G37" s="169"/>
      <c r="H37" s="57"/>
    </row>
    <row r="38" spans="1:8" ht="15" customHeight="1">
      <c r="A38" s="180"/>
      <c r="B38" s="181"/>
      <c r="C38" s="182"/>
      <c r="D38" s="194"/>
      <c r="E38" s="170"/>
      <c r="F38" s="171"/>
      <c r="G38" s="172"/>
      <c r="H38" s="57"/>
    </row>
    <row r="39" spans="1:8" ht="16.05" customHeight="1" thickBot="1">
      <c r="A39" s="180"/>
      <c r="B39" s="181"/>
      <c r="C39" s="182"/>
      <c r="D39" s="195"/>
      <c r="E39" s="173"/>
      <c r="F39" s="174"/>
      <c r="G39" s="175"/>
      <c r="H39" s="57"/>
    </row>
    <row r="40" spans="1:8" ht="16.05" customHeight="1">
      <c r="A40" s="180"/>
      <c r="B40" s="181"/>
      <c r="C40" s="182"/>
      <c r="D40" s="193" t="s">
        <v>268</v>
      </c>
      <c r="E40" s="167"/>
      <c r="F40" s="168"/>
      <c r="G40" s="169"/>
      <c r="H40" s="57"/>
    </row>
    <row r="41" spans="1:8" ht="16.05" customHeight="1" thickBot="1">
      <c r="A41" s="180"/>
      <c r="B41" s="181"/>
      <c r="C41" s="182"/>
      <c r="D41" s="195"/>
      <c r="E41" s="173"/>
      <c r="F41" s="174"/>
      <c r="G41" s="175"/>
      <c r="H41" s="57"/>
    </row>
    <row r="42" spans="1:8" ht="27.3" customHeight="1">
      <c r="A42" s="180"/>
      <c r="B42" s="181"/>
      <c r="C42" s="182"/>
      <c r="D42" s="193" t="s">
        <v>255</v>
      </c>
      <c r="E42" s="167"/>
      <c r="F42" s="168"/>
      <c r="G42" s="169"/>
      <c r="H42" s="57"/>
    </row>
    <row r="43" spans="1:8" ht="26.25" customHeight="1">
      <c r="A43" s="180"/>
      <c r="B43" s="181"/>
      <c r="C43" s="182"/>
      <c r="D43" s="194"/>
      <c r="E43" s="170"/>
      <c r="F43" s="171"/>
      <c r="G43" s="172"/>
      <c r="H43" s="57"/>
    </row>
    <row r="44" spans="1:8" ht="25.5" customHeight="1" thickBot="1">
      <c r="A44" s="180"/>
      <c r="B44" s="181"/>
      <c r="C44" s="182"/>
      <c r="D44" s="195"/>
      <c r="E44" s="173"/>
      <c r="F44" s="174"/>
      <c r="G44" s="175"/>
      <c r="H44" s="57"/>
    </row>
    <row r="45" spans="1:8" ht="16.05" customHeight="1">
      <c r="A45" s="180"/>
      <c r="B45" s="181"/>
      <c r="C45" s="182"/>
      <c r="D45" s="193" t="s">
        <v>227</v>
      </c>
      <c r="E45" s="167"/>
      <c r="F45" s="168"/>
      <c r="G45" s="169"/>
      <c r="H45" s="57"/>
    </row>
    <row r="46" spans="1:8" ht="16.05" customHeight="1">
      <c r="A46" s="180"/>
      <c r="B46" s="181"/>
      <c r="C46" s="182"/>
      <c r="D46" s="194" t="s">
        <v>33</v>
      </c>
      <c r="E46" s="170"/>
      <c r="F46" s="171"/>
      <c r="G46" s="172"/>
      <c r="H46" s="57"/>
    </row>
    <row r="47" spans="1:8" ht="16.05" customHeight="1" thickBot="1">
      <c r="A47" s="180"/>
      <c r="B47" s="181"/>
      <c r="C47" s="182"/>
      <c r="D47" s="194"/>
      <c r="E47" s="173"/>
      <c r="F47" s="174"/>
      <c r="G47" s="175"/>
      <c r="H47" s="57"/>
    </row>
    <row r="48" spans="1:8" ht="16.05" customHeight="1">
      <c r="A48" s="180"/>
      <c r="B48" s="181"/>
      <c r="C48" s="182"/>
      <c r="D48" s="193" t="s">
        <v>226</v>
      </c>
      <c r="E48" s="202"/>
      <c r="F48" s="203"/>
      <c r="G48" s="204"/>
      <c r="H48" s="325"/>
    </row>
    <row r="49" spans="1:15" ht="16.05" customHeight="1" thickBot="1">
      <c r="A49" s="180"/>
      <c r="B49" s="181"/>
      <c r="C49" s="182"/>
      <c r="D49" s="194"/>
      <c r="E49" s="205"/>
      <c r="F49" s="206"/>
      <c r="G49" s="207"/>
      <c r="H49" s="325"/>
    </row>
    <row r="50" spans="1:15" ht="47.25" customHeight="1">
      <c r="A50" s="180"/>
      <c r="B50" s="181"/>
      <c r="C50" s="182"/>
      <c r="D50" s="193" t="s">
        <v>407</v>
      </c>
      <c r="E50" s="202"/>
      <c r="F50" s="203"/>
      <c r="G50" s="204"/>
      <c r="H50" s="217" t="s">
        <v>291</v>
      </c>
      <c r="I50" s="149" t="s">
        <v>447</v>
      </c>
      <c r="J50" s="149"/>
      <c r="K50" s="149"/>
      <c r="L50" s="149"/>
      <c r="M50" s="149"/>
      <c r="N50" s="149"/>
      <c r="O50" s="149"/>
    </row>
    <row r="51" spans="1:15" ht="45.75" customHeight="1" thickBot="1">
      <c r="A51" s="183"/>
      <c r="B51" s="184"/>
      <c r="C51" s="185"/>
      <c r="D51" s="194"/>
      <c r="E51" s="205"/>
      <c r="F51" s="206"/>
      <c r="G51" s="207"/>
      <c r="H51" s="217"/>
      <c r="I51" s="149" t="s">
        <v>435</v>
      </c>
      <c r="J51" s="149"/>
      <c r="K51" s="149"/>
      <c r="L51" s="149"/>
      <c r="M51" s="149"/>
      <c r="N51" s="149"/>
      <c r="O51" s="149"/>
    </row>
    <row r="52" spans="1:15" ht="16.05" customHeight="1">
      <c r="A52" s="177" t="s">
        <v>293</v>
      </c>
      <c r="B52" s="178"/>
      <c r="C52" s="179"/>
      <c r="D52" s="168"/>
      <c r="E52" s="168"/>
      <c r="F52" s="168"/>
      <c r="G52" s="169"/>
      <c r="H52" s="192" t="s">
        <v>291</v>
      </c>
    </row>
    <row r="53" spans="1:15" ht="16.05" customHeight="1" thickBot="1">
      <c r="A53" s="183"/>
      <c r="B53" s="184"/>
      <c r="C53" s="185"/>
      <c r="D53" s="174"/>
      <c r="E53" s="174"/>
      <c r="F53" s="174"/>
      <c r="G53" s="175"/>
      <c r="H53" s="192"/>
    </row>
    <row r="54" spans="1:15" ht="16.05" customHeight="1">
      <c r="A54" s="177" t="s">
        <v>35</v>
      </c>
      <c r="B54" s="178"/>
      <c r="C54" s="179"/>
      <c r="D54" s="193" t="s">
        <v>225</v>
      </c>
      <c r="E54" s="208"/>
      <c r="F54" s="209"/>
      <c r="G54" s="210"/>
      <c r="H54" s="57"/>
    </row>
    <row r="55" spans="1:15" ht="16.05" customHeight="1">
      <c r="A55" s="180"/>
      <c r="B55" s="181"/>
      <c r="C55" s="182"/>
      <c r="D55" s="194"/>
      <c r="E55" s="211"/>
      <c r="F55" s="212"/>
      <c r="G55" s="213"/>
      <c r="H55" s="57"/>
    </row>
    <row r="56" spans="1:15" ht="15" customHeight="1" thickBot="1">
      <c r="A56" s="180"/>
      <c r="B56" s="181"/>
      <c r="C56" s="182"/>
      <c r="D56" s="195"/>
      <c r="E56" s="214"/>
      <c r="F56" s="215"/>
      <c r="G56" s="216"/>
      <c r="H56" s="57"/>
    </row>
    <row r="57" spans="1:15" ht="15" customHeight="1">
      <c r="A57" s="180"/>
      <c r="B57" s="181"/>
      <c r="C57" s="182"/>
      <c r="D57" s="193" t="s">
        <v>377</v>
      </c>
      <c r="E57" s="208"/>
      <c r="F57" s="209"/>
      <c r="G57" s="210"/>
      <c r="H57" s="57"/>
    </row>
    <row r="58" spans="1:15" ht="16.05" customHeight="1">
      <c r="A58" s="180"/>
      <c r="B58" s="181"/>
      <c r="C58" s="182"/>
      <c r="D58" s="194"/>
      <c r="E58" s="211"/>
      <c r="F58" s="212"/>
      <c r="G58" s="213"/>
      <c r="H58" s="57"/>
    </row>
    <row r="59" spans="1:15" ht="15" customHeight="1" thickBot="1">
      <c r="A59" s="180"/>
      <c r="B59" s="181"/>
      <c r="C59" s="182"/>
      <c r="D59" s="195"/>
      <c r="E59" s="214"/>
      <c r="F59" s="215"/>
      <c r="G59" s="216"/>
      <c r="H59" s="57"/>
    </row>
    <row r="60" spans="1:15" ht="35.25" customHeight="1">
      <c r="A60" s="180"/>
      <c r="B60" s="181"/>
      <c r="C60" s="182"/>
      <c r="D60" s="193" t="s">
        <v>256</v>
      </c>
      <c r="E60" s="202"/>
      <c r="F60" s="203"/>
      <c r="G60" s="204"/>
      <c r="H60" s="192" t="s">
        <v>291</v>
      </c>
    </row>
    <row r="61" spans="1:15" ht="31.5" customHeight="1" thickBot="1">
      <c r="A61" s="180"/>
      <c r="B61" s="181"/>
      <c r="C61" s="182"/>
      <c r="D61" s="194"/>
      <c r="E61" s="224"/>
      <c r="F61" s="225"/>
      <c r="G61" s="226"/>
      <c r="H61" s="192"/>
    </row>
    <row r="62" spans="1:15" ht="35.25" customHeight="1">
      <c r="A62" s="180"/>
      <c r="B62" s="181"/>
      <c r="C62" s="182"/>
      <c r="D62" s="193" t="s">
        <v>257</v>
      </c>
      <c r="E62" s="202"/>
      <c r="F62" s="203"/>
      <c r="G62" s="204"/>
      <c r="H62" s="192" t="s">
        <v>291</v>
      </c>
      <c r="I62" s="73"/>
    </row>
    <row r="63" spans="1:15" ht="25.5" customHeight="1" thickBot="1">
      <c r="A63" s="180"/>
      <c r="B63" s="181"/>
      <c r="C63" s="182"/>
      <c r="D63" s="195"/>
      <c r="E63" s="224"/>
      <c r="F63" s="225"/>
      <c r="G63" s="226"/>
      <c r="H63" s="192"/>
      <c r="I63" s="73"/>
    </row>
    <row r="64" spans="1:15" ht="25.5" customHeight="1">
      <c r="A64" s="180"/>
      <c r="B64" s="181"/>
      <c r="C64" s="182"/>
      <c r="D64" s="193" t="s">
        <v>306</v>
      </c>
      <c r="E64" s="203"/>
      <c r="F64" s="203"/>
      <c r="G64" s="204"/>
      <c r="H64" s="192" t="s">
        <v>291</v>
      </c>
      <c r="I64" s="73"/>
    </row>
    <row r="65" spans="1:9" ht="25.5" customHeight="1" thickBot="1">
      <c r="A65" s="183"/>
      <c r="B65" s="184"/>
      <c r="C65" s="185"/>
      <c r="D65" s="195"/>
      <c r="E65" s="225"/>
      <c r="F65" s="225"/>
      <c r="G65" s="226"/>
      <c r="H65" s="192"/>
      <c r="I65" s="73"/>
    </row>
    <row r="66" spans="1:9" ht="15" customHeight="1">
      <c r="A66" s="177" t="s">
        <v>294</v>
      </c>
      <c r="B66" s="178"/>
      <c r="C66" s="179"/>
      <c r="D66" s="168"/>
      <c r="E66" s="168"/>
      <c r="F66" s="168"/>
      <c r="G66" s="169"/>
      <c r="H66" s="192" t="s">
        <v>291</v>
      </c>
    </row>
    <row r="67" spans="1:9" ht="15" customHeight="1" thickBot="1">
      <c r="A67" s="183"/>
      <c r="B67" s="184"/>
      <c r="C67" s="185"/>
      <c r="D67" s="174"/>
      <c r="E67" s="174"/>
      <c r="F67" s="174"/>
      <c r="G67" s="175"/>
      <c r="H67" s="192"/>
    </row>
    <row r="68" spans="1:9" ht="22.5" customHeight="1">
      <c r="A68" s="177" t="s">
        <v>36</v>
      </c>
      <c r="B68" s="178"/>
      <c r="C68" s="178"/>
      <c r="D68" s="193" t="s">
        <v>383</v>
      </c>
      <c r="E68" s="167"/>
      <c r="F68" s="168"/>
      <c r="G68" s="169"/>
    </row>
    <row r="69" spans="1:9" ht="20.25" customHeight="1">
      <c r="A69" s="180"/>
      <c r="B69" s="181"/>
      <c r="C69" s="181"/>
      <c r="D69" s="194"/>
      <c r="E69" s="170"/>
      <c r="F69" s="171"/>
      <c r="G69" s="172"/>
    </row>
    <row r="70" spans="1:9" ht="23.55" customHeight="1" thickBot="1">
      <c r="A70" s="180"/>
      <c r="B70" s="181"/>
      <c r="C70" s="181"/>
      <c r="D70" s="195"/>
      <c r="E70" s="173"/>
      <c r="F70" s="174"/>
      <c r="G70" s="175"/>
    </row>
    <row r="71" spans="1:9" ht="36.75" customHeight="1">
      <c r="A71" s="180"/>
      <c r="B71" s="181"/>
      <c r="C71" s="181"/>
      <c r="D71" s="193" t="s">
        <v>400</v>
      </c>
      <c r="E71" s="167"/>
      <c r="F71" s="168"/>
      <c r="G71" s="169"/>
      <c r="H71" s="138"/>
    </row>
    <row r="72" spans="1:9" ht="34.049999999999997" customHeight="1">
      <c r="A72" s="180"/>
      <c r="B72" s="181"/>
      <c r="C72" s="181"/>
      <c r="D72" s="194"/>
      <c r="E72" s="170"/>
      <c r="F72" s="171"/>
      <c r="G72" s="172"/>
      <c r="H72" s="138"/>
    </row>
    <row r="73" spans="1:9" ht="34.049999999999997" customHeight="1" thickBot="1">
      <c r="A73" s="180"/>
      <c r="B73" s="181"/>
      <c r="C73" s="181"/>
      <c r="D73" s="195"/>
      <c r="E73" s="173"/>
      <c r="F73" s="174"/>
      <c r="G73" s="175"/>
      <c r="H73" s="138"/>
    </row>
    <row r="74" spans="1:9" ht="23.55" customHeight="1">
      <c r="A74" s="180"/>
      <c r="B74" s="181"/>
      <c r="C74" s="181"/>
      <c r="D74" s="313" t="s">
        <v>384</v>
      </c>
      <c r="E74" s="304" t="str">
        <f>IF(E68="","",E68-E71)</f>
        <v/>
      </c>
      <c r="F74" s="305"/>
      <c r="G74" s="306"/>
    </row>
    <row r="75" spans="1:9">
      <c r="A75" s="180"/>
      <c r="B75" s="181"/>
      <c r="C75" s="181"/>
      <c r="D75" s="314"/>
      <c r="E75" s="307"/>
      <c r="F75" s="308"/>
      <c r="G75" s="309"/>
    </row>
    <row r="76" spans="1:9" ht="15" thickBot="1">
      <c r="A76" s="180"/>
      <c r="B76" s="181"/>
      <c r="C76" s="181"/>
      <c r="D76" s="315"/>
      <c r="E76" s="310"/>
      <c r="F76" s="311"/>
      <c r="G76" s="312"/>
    </row>
    <row r="77" spans="1:9" ht="23.55" customHeight="1">
      <c r="A77" s="180"/>
      <c r="B77" s="181"/>
      <c r="C77" s="181"/>
      <c r="D77" s="193" t="s">
        <v>385</v>
      </c>
      <c r="E77" s="167"/>
      <c r="F77" s="168"/>
      <c r="G77" s="169"/>
      <c r="H77" s="192" t="s">
        <v>291</v>
      </c>
    </row>
    <row r="78" spans="1:9" ht="23.55" customHeight="1">
      <c r="A78" s="180"/>
      <c r="B78" s="181"/>
      <c r="C78" s="181"/>
      <c r="D78" s="194"/>
      <c r="E78" s="170"/>
      <c r="F78" s="171"/>
      <c r="G78" s="172"/>
      <c r="H78" s="192"/>
    </row>
    <row r="79" spans="1:9" ht="23.55" customHeight="1" thickBot="1">
      <c r="A79" s="180"/>
      <c r="B79" s="181"/>
      <c r="C79" s="181"/>
      <c r="D79" s="195"/>
      <c r="E79" s="173"/>
      <c r="F79" s="174"/>
      <c r="G79" s="175"/>
      <c r="H79" s="192"/>
    </row>
    <row r="80" spans="1:9" ht="15" customHeight="1">
      <c r="A80" s="180"/>
      <c r="B80" s="181"/>
      <c r="C80" s="181"/>
      <c r="D80" s="193" t="s">
        <v>237</v>
      </c>
      <c r="E80" s="167"/>
      <c r="F80" s="168"/>
      <c r="G80" s="169"/>
      <c r="H80" s="192" t="s">
        <v>291</v>
      </c>
    </row>
    <row r="81" spans="1:9" ht="15" customHeight="1">
      <c r="A81" s="180"/>
      <c r="B81" s="181"/>
      <c r="C81" s="181"/>
      <c r="D81" s="194"/>
      <c r="E81" s="170"/>
      <c r="F81" s="171"/>
      <c r="G81" s="172"/>
      <c r="H81" s="192"/>
    </row>
    <row r="82" spans="1:9" ht="16.05" customHeight="1" thickBot="1">
      <c r="A82" s="180"/>
      <c r="B82" s="181"/>
      <c r="C82" s="181"/>
      <c r="D82" s="195"/>
      <c r="E82" s="173"/>
      <c r="F82" s="174"/>
      <c r="G82" s="175"/>
      <c r="H82" s="192"/>
    </row>
    <row r="83" spans="1:9">
      <c r="A83" s="180"/>
      <c r="B83" s="181"/>
      <c r="C83" s="181"/>
      <c r="D83" s="193" t="s">
        <v>295</v>
      </c>
      <c r="E83" s="329"/>
      <c r="F83" s="330"/>
      <c r="G83" s="331"/>
    </row>
    <row r="84" spans="1:9" ht="24" customHeight="1">
      <c r="A84" s="180"/>
      <c r="B84" s="181"/>
      <c r="C84" s="181"/>
      <c r="D84" s="194"/>
      <c r="E84" s="335"/>
      <c r="F84" s="336"/>
      <c r="G84" s="337"/>
    </row>
    <row r="85" spans="1:9" ht="23.55" customHeight="1" thickBot="1">
      <c r="A85" s="180"/>
      <c r="B85" s="181"/>
      <c r="C85" s="181"/>
      <c r="D85" s="194"/>
      <c r="E85" s="332"/>
      <c r="F85" s="333"/>
      <c r="G85" s="334"/>
    </row>
    <row r="86" spans="1:9" ht="15" customHeight="1">
      <c r="A86" s="180"/>
      <c r="B86" s="181"/>
      <c r="C86" s="181"/>
      <c r="D86" s="193" t="s">
        <v>224</v>
      </c>
      <c r="E86" s="218"/>
      <c r="F86" s="219"/>
      <c r="G86" s="220"/>
      <c r="I86" s="73"/>
    </row>
    <row r="87" spans="1:9" ht="15" customHeight="1" thickBot="1">
      <c r="A87" s="180"/>
      <c r="B87" s="181"/>
      <c r="C87" s="181"/>
      <c r="D87" s="195"/>
      <c r="E87" s="221"/>
      <c r="F87" s="222"/>
      <c r="G87" s="223"/>
    </row>
    <row r="88" spans="1:9" ht="15" customHeight="1">
      <c r="A88" s="180"/>
      <c r="B88" s="181"/>
      <c r="C88" s="181"/>
      <c r="D88" s="193" t="s">
        <v>216</v>
      </c>
      <c r="E88" s="218"/>
      <c r="F88" s="219"/>
      <c r="G88" s="220"/>
    </row>
    <row r="89" spans="1:9" ht="15" customHeight="1" thickBot="1">
      <c r="A89" s="183"/>
      <c r="B89" s="184"/>
      <c r="C89" s="184"/>
      <c r="D89" s="195"/>
      <c r="E89" s="221"/>
      <c r="F89" s="222"/>
      <c r="G89" s="223"/>
    </row>
    <row r="90" spans="1:9" ht="60.75" customHeight="1" thickBot="1">
      <c r="A90" s="146" t="s">
        <v>370</v>
      </c>
      <c r="B90" s="147"/>
      <c r="C90" s="147"/>
      <c r="D90" s="147"/>
      <c r="E90" s="147"/>
      <c r="F90" s="147"/>
      <c r="G90" s="148"/>
    </row>
    <row r="91" spans="1:9" ht="51" customHeight="1" thickBot="1">
      <c r="A91" s="199" t="s">
        <v>449</v>
      </c>
      <c r="B91" s="200"/>
      <c r="C91" s="200"/>
      <c r="D91" s="200"/>
      <c r="E91" s="200"/>
      <c r="F91" s="200"/>
      <c r="G91" s="201"/>
      <c r="H91" s="124"/>
    </row>
    <row r="92" spans="1:9" ht="136.35" customHeight="1" thickBot="1">
      <c r="A92" s="196"/>
      <c r="B92" s="197"/>
      <c r="C92" s="197"/>
      <c r="D92" s="197"/>
      <c r="E92" s="197"/>
      <c r="F92" s="197"/>
      <c r="G92" s="198"/>
      <c r="H92" s="125"/>
    </row>
    <row r="93" spans="1:9">
      <c r="A93" s="186" t="s">
        <v>397</v>
      </c>
      <c r="B93" s="187"/>
      <c r="C93" s="188"/>
      <c r="D93" s="167"/>
      <c r="E93" s="168"/>
      <c r="F93" s="168"/>
      <c r="G93" s="169"/>
      <c r="H93" s="176" t="s">
        <v>291</v>
      </c>
    </row>
    <row r="94" spans="1:9" ht="36" customHeight="1" thickBot="1">
      <c r="A94" s="189"/>
      <c r="B94" s="190"/>
      <c r="C94" s="191"/>
      <c r="D94" s="173"/>
      <c r="E94" s="174"/>
      <c r="F94" s="174"/>
      <c r="G94" s="175"/>
      <c r="H94" s="176"/>
    </row>
    <row r="95" spans="1:9" ht="31.5" customHeight="1">
      <c r="A95" s="186" t="s">
        <v>398</v>
      </c>
      <c r="B95" s="187"/>
      <c r="C95" s="188"/>
      <c r="D95" s="167"/>
      <c r="E95" s="168"/>
      <c r="F95" s="168"/>
      <c r="G95" s="169"/>
      <c r="H95" s="129"/>
    </row>
    <row r="96" spans="1:9" ht="31.5" customHeight="1" thickBot="1">
      <c r="A96" s="189"/>
      <c r="B96" s="190"/>
      <c r="C96" s="191"/>
      <c r="D96" s="173"/>
      <c r="E96" s="174"/>
      <c r="F96" s="174"/>
      <c r="G96" s="175"/>
      <c r="H96" s="129"/>
    </row>
    <row r="97" spans="1:18" ht="16.05" customHeight="1">
      <c r="A97" s="177" t="s">
        <v>205</v>
      </c>
      <c r="B97" s="178"/>
      <c r="C97" s="179"/>
      <c r="D97" s="193" t="s">
        <v>418</v>
      </c>
      <c r="E97" s="167"/>
      <c r="F97" s="168"/>
      <c r="G97" s="169"/>
      <c r="H97" s="128"/>
    </row>
    <row r="98" spans="1:18" ht="16.05" customHeight="1">
      <c r="A98" s="180"/>
      <c r="B98" s="181"/>
      <c r="C98" s="182"/>
      <c r="D98" s="194"/>
      <c r="E98" s="170"/>
      <c r="F98" s="171"/>
      <c r="G98" s="172"/>
      <c r="H98" s="57"/>
    </row>
    <row r="99" spans="1:18" ht="16.05" customHeight="1" thickBot="1">
      <c r="A99" s="180"/>
      <c r="B99" s="181"/>
      <c r="C99" s="182"/>
      <c r="D99" s="195"/>
      <c r="E99" s="173"/>
      <c r="F99" s="174"/>
      <c r="G99" s="175"/>
      <c r="H99" s="57"/>
    </row>
    <row r="100" spans="1:18" ht="16.05" customHeight="1">
      <c r="A100" s="180"/>
      <c r="B100" s="181"/>
      <c r="C100" s="182"/>
      <c r="D100" s="193" t="s">
        <v>419</v>
      </c>
      <c r="E100" s="167"/>
      <c r="F100" s="168"/>
      <c r="G100" s="169"/>
      <c r="H100" s="57"/>
    </row>
    <row r="101" spans="1:18" ht="15" customHeight="1">
      <c r="A101" s="180"/>
      <c r="B101" s="181"/>
      <c r="C101" s="182"/>
      <c r="D101" s="194"/>
      <c r="E101" s="170"/>
      <c r="F101" s="171"/>
      <c r="G101" s="172"/>
      <c r="H101" s="57"/>
    </row>
    <row r="102" spans="1:18" ht="15" customHeight="1" thickBot="1">
      <c r="A102" s="180"/>
      <c r="B102" s="181"/>
      <c r="C102" s="182"/>
      <c r="D102" s="195"/>
      <c r="E102" s="173"/>
      <c r="F102" s="174"/>
      <c r="G102" s="175"/>
    </row>
    <row r="103" spans="1:18" ht="15" customHeight="1">
      <c r="A103" s="180"/>
      <c r="B103" s="181"/>
      <c r="C103" s="182"/>
      <c r="D103" s="193" t="s">
        <v>417</v>
      </c>
      <c r="E103" s="208"/>
      <c r="F103" s="209"/>
      <c r="G103" s="210"/>
      <c r="H103" s="155" t="str">
        <f>IF(E103+E40&gt;(E68+E54)*1.2,"🚩 UWAGA, Produkcja większa niż zapotrzebowanie budynku, należy dołączyć uzasadnienie","")</f>
        <v/>
      </c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</row>
    <row r="104" spans="1:18" ht="15" customHeight="1">
      <c r="A104" s="180"/>
      <c r="B104" s="181"/>
      <c r="C104" s="182"/>
      <c r="D104" s="194"/>
      <c r="E104" s="211"/>
      <c r="F104" s="212"/>
      <c r="G104" s="213"/>
      <c r="H104" s="155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</row>
    <row r="105" spans="1:18" ht="15" customHeight="1" thickBot="1">
      <c r="A105" s="180"/>
      <c r="B105" s="181"/>
      <c r="C105" s="182"/>
      <c r="D105" s="195"/>
      <c r="E105" s="214"/>
      <c r="F105" s="215"/>
      <c r="G105" s="216"/>
      <c r="H105" s="155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</row>
    <row r="106" spans="1:18" ht="15" customHeight="1">
      <c r="A106" s="180"/>
      <c r="B106" s="181"/>
      <c r="C106" s="182"/>
      <c r="D106" s="193" t="s">
        <v>288</v>
      </c>
      <c r="E106" s="289"/>
      <c r="F106" s="290"/>
      <c r="G106" s="291"/>
    </row>
    <row r="107" spans="1:18" ht="15" customHeight="1">
      <c r="A107" s="180"/>
      <c r="B107" s="181"/>
      <c r="C107" s="182"/>
      <c r="D107" s="194"/>
      <c r="E107" s="292"/>
      <c r="F107" s="293"/>
      <c r="G107" s="294"/>
    </row>
    <row r="108" spans="1:18" ht="15" customHeight="1" thickBot="1">
      <c r="A108" s="180"/>
      <c r="B108" s="181"/>
      <c r="C108" s="182"/>
      <c r="D108" s="195"/>
      <c r="E108" s="295"/>
      <c r="F108" s="296"/>
      <c r="G108" s="297"/>
    </row>
    <row r="109" spans="1:18" ht="15" customHeight="1">
      <c r="A109" s="180"/>
      <c r="B109" s="181"/>
      <c r="C109" s="182"/>
      <c r="D109" s="193" t="s">
        <v>287</v>
      </c>
      <c r="E109" s="316" t="str">
        <f>IF(E106="","",1-E106)</f>
        <v/>
      </c>
      <c r="F109" s="317"/>
      <c r="G109" s="318"/>
    </row>
    <row r="110" spans="1:18" ht="15" customHeight="1">
      <c r="A110" s="180"/>
      <c r="B110" s="181"/>
      <c r="C110" s="182"/>
      <c r="D110" s="194"/>
      <c r="E110" s="319"/>
      <c r="F110" s="320"/>
      <c r="G110" s="321"/>
    </row>
    <row r="111" spans="1:18" ht="15" customHeight="1" thickBot="1">
      <c r="A111" s="180"/>
      <c r="B111" s="181"/>
      <c r="C111" s="182"/>
      <c r="D111" s="195"/>
      <c r="E111" s="322"/>
      <c r="F111" s="323"/>
      <c r="G111" s="324"/>
    </row>
    <row r="112" spans="1:18" ht="26.25" customHeight="1">
      <c r="A112" s="180"/>
      <c r="B112" s="181"/>
      <c r="C112" s="182"/>
      <c r="D112" s="193" t="s">
        <v>260</v>
      </c>
      <c r="E112" s="167"/>
      <c r="F112" s="168"/>
      <c r="G112" s="169"/>
    </row>
    <row r="113" spans="1:18" ht="37.799999999999997" customHeight="1" thickBot="1">
      <c r="A113" s="180"/>
      <c r="B113" s="181"/>
      <c r="C113" s="182"/>
      <c r="D113" s="195"/>
      <c r="E113" s="173"/>
      <c r="F113" s="174"/>
      <c r="G113" s="175"/>
    </row>
    <row r="114" spans="1:18" ht="40.5" customHeight="1">
      <c r="A114" s="180"/>
      <c r="B114" s="181"/>
      <c r="C114" s="182"/>
      <c r="D114" s="193" t="s">
        <v>249</v>
      </c>
      <c r="E114" s="167"/>
      <c r="F114" s="168"/>
      <c r="G114" s="169"/>
    </row>
    <row r="115" spans="1:18" ht="29.25" customHeight="1" thickBot="1">
      <c r="A115" s="180"/>
      <c r="B115" s="181"/>
      <c r="C115" s="182"/>
      <c r="D115" s="195"/>
      <c r="E115" s="173"/>
      <c r="F115" s="174"/>
      <c r="G115" s="175"/>
    </row>
    <row r="116" spans="1:18" ht="15" customHeight="1">
      <c r="A116" s="180"/>
      <c r="B116" s="181"/>
      <c r="C116" s="182"/>
      <c r="D116" s="193" t="s">
        <v>208</v>
      </c>
      <c r="E116" s="329"/>
      <c r="F116" s="330"/>
      <c r="G116" s="331"/>
    </row>
    <row r="117" spans="1:18" ht="15" customHeight="1" thickBot="1">
      <c r="A117" s="183"/>
      <c r="B117" s="184"/>
      <c r="C117" s="185"/>
      <c r="D117" s="195"/>
      <c r="E117" s="332"/>
      <c r="F117" s="333"/>
      <c r="G117" s="334"/>
    </row>
    <row r="118" spans="1:18" ht="15" customHeight="1">
      <c r="A118" s="177" t="s">
        <v>389</v>
      </c>
      <c r="B118" s="178"/>
      <c r="C118" s="179"/>
      <c r="D118" s="193" t="s">
        <v>258</v>
      </c>
      <c r="E118" s="167"/>
      <c r="F118" s="168"/>
      <c r="G118" s="169"/>
      <c r="H118" s="144" t="str">
        <f>IF(E118&gt;30,"🚩 UWAGA, Dla magazynów energii o pojemności z przedziału 30-300 kWh wymagane jest zgłoszenie robót budowlanych do właściwego starostwa powiatowego lub urzędu miasta","")</f>
        <v/>
      </c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1:18" ht="15" customHeight="1">
      <c r="A119" s="180"/>
      <c r="B119" s="181"/>
      <c r="C119" s="182"/>
      <c r="D119" s="194" t="s">
        <v>33</v>
      </c>
      <c r="E119" s="170"/>
      <c r="F119" s="171"/>
      <c r="G119" s="172"/>
      <c r="H119" s="144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1:18" ht="15" customHeight="1" thickBot="1">
      <c r="A120" s="180"/>
      <c r="B120" s="181"/>
      <c r="C120" s="182"/>
      <c r="D120" s="195"/>
      <c r="E120" s="173"/>
      <c r="F120" s="174"/>
      <c r="G120" s="175"/>
      <c r="H120" s="144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1:18" ht="15" customHeight="1">
      <c r="A121" s="180"/>
      <c r="B121" s="181"/>
      <c r="C121" s="182"/>
      <c r="D121" s="193" t="s">
        <v>259</v>
      </c>
      <c r="E121" s="167"/>
      <c r="F121" s="168"/>
      <c r="G121" s="169"/>
      <c r="H121" s="325"/>
    </row>
    <row r="122" spans="1:18" ht="15" customHeight="1" thickBot="1">
      <c r="A122" s="180"/>
      <c r="B122" s="181"/>
      <c r="C122" s="182"/>
      <c r="D122" s="194"/>
      <c r="E122" s="173"/>
      <c r="F122" s="174"/>
      <c r="G122" s="175"/>
      <c r="H122" s="325"/>
    </row>
    <row r="123" spans="1:18" ht="15" customHeight="1">
      <c r="A123" s="180"/>
      <c r="B123" s="181"/>
      <c r="C123" s="182"/>
      <c r="D123" s="193" t="s">
        <v>37</v>
      </c>
      <c r="E123" s="167"/>
      <c r="F123" s="168"/>
      <c r="G123" s="169"/>
    </row>
    <row r="124" spans="1:18" ht="15" customHeight="1" thickBot="1">
      <c r="A124" s="180"/>
      <c r="B124" s="181"/>
      <c r="C124" s="182"/>
      <c r="D124" s="194"/>
      <c r="E124" s="173"/>
      <c r="F124" s="174"/>
      <c r="G124" s="175"/>
    </row>
    <row r="125" spans="1:18" ht="27.3" customHeight="1">
      <c r="A125" s="180"/>
      <c r="B125" s="181"/>
      <c r="C125" s="182"/>
      <c r="D125" s="193" t="s">
        <v>262</v>
      </c>
      <c r="E125" s="167"/>
      <c r="F125" s="168"/>
      <c r="G125" s="169"/>
    </row>
    <row r="126" spans="1:18" ht="23.55" customHeight="1" thickBot="1">
      <c r="A126" s="180"/>
      <c r="B126" s="181"/>
      <c r="C126" s="182"/>
      <c r="D126" s="195"/>
      <c r="E126" s="173"/>
      <c r="F126" s="174"/>
      <c r="G126" s="175"/>
    </row>
    <row r="127" spans="1:18" ht="15" customHeight="1">
      <c r="A127" s="180"/>
      <c r="B127" s="181"/>
      <c r="C127" s="182"/>
      <c r="D127" s="193" t="s">
        <v>209</v>
      </c>
      <c r="E127" s="218"/>
      <c r="F127" s="219"/>
      <c r="G127" s="220"/>
    </row>
    <row r="128" spans="1:18" ht="20.25" customHeight="1" thickBot="1">
      <c r="A128" s="183"/>
      <c r="B128" s="184"/>
      <c r="C128" s="185"/>
      <c r="D128" s="195"/>
      <c r="E128" s="221"/>
      <c r="F128" s="222"/>
      <c r="G128" s="223"/>
    </row>
    <row r="129" spans="1:14" ht="27.3" customHeight="1">
      <c r="A129" s="177" t="s">
        <v>304</v>
      </c>
      <c r="B129" s="178"/>
      <c r="C129" s="179"/>
      <c r="D129" s="167"/>
      <c r="E129" s="168"/>
      <c r="F129" s="168"/>
      <c r="G129" s="169"/>
      <c r="H129" s="192" t="s">
        <v>291</v>
      </c>
    </row>
    <row r="130" spans="1:14" ht="23.55" customHeight="1" thickBot="1">
      <c r="A130" s="180"/>
      <c r="B130" s="181"/>
      <c r="C130" s="182"/>
      <c r="D130" s="173"/>
      <c r="E130" s="174"/>
      <c r="F130" s="174"/>
      <c r="G130" s="175"/>
      <c r="H130" s="192"/>
    </row>
    <row r="131" spans="1:14" ht="20.25" customHeight="1">
      <c r="A131" s="177" t="s">
        <v>305</v>
      </c>
      <c r="B131" s="178"/>
      <c r="C131" s="179"/>
      <c r="D131" s="194" t="s">
        <v>409</v>
      </c>
      <c r="E131" s="298"/>
      <c r="F131" s="299"/>
      <c r="G131" s="300"/>
      <c r="H131" s="138"/>
      <c r="I131" s="154"/>
      <c r="J131" s="157"/>
    </row>
    <row r="132" spans="1:14" ht="43.2" customHeight="1" thickBot="1">
      <c r="A132" s="183"/>
      <c r="B132" s="184"/>
      <c r="C132" s="185"/>
      <c r="D132" s="195"/>
      <c r="E132" s="301"/>
      <c r="F132" s="302"/>
      <c r="G132" s="303"/>
      <c r="H132" s="138"/>
      <c r="I132" s="154"/>
      <c r="J132" s="157"/>
    </row>
    <row r="133" spans="1:14" ht="15" customHeight="1">
      <c r="A133" s="177" t="s">
        <v>38</v>
      </c>
      <c r="B133" s="178"/>
      <c r="C133" s="179"/>
      <c r="D133" s="193" t="s">
        <v>31</v>
      </c>
      <c r="E133" s="167"/>
      <c r="F133" s="168"/>
      <c r="G133" s="169"/>
    </row>
    <row r="134" spans="1:14" ht="16.05" customHeight="1">
      <c r="A134" s="180"/>
      <c r="B134" s="181"/>
      <c r="C134" s="182"/>
      <c r="D134" s="194"/>
      <c r="E134" s="170"/>
      <c r="F134" s="171"/>
      <c r="G134" s="172"/>
    </row>
    <row r="135" spans="1:14" ht="16.05" customHeight="1" thickBot="1">
      <c r="A135" s="180"/>
      <c r="B135" s="181"/>
      <c r="C135" s="182"/>
      <c r="D135" s="195"/>
      <c r="E135" s="173"/>
      <c r="F135" s="174"/>
      <c r="G135" s="175"/>
    </row>
    <row r="136" spans="1:14" ht="15" customHeight="1">
      <c r="A136" s="180"/>
      <c r="B136" s="181"/>
      <c r="C136" s="182"/>
      <c r="D136" s="193" t="s">
        <v>230</v>
      </c>
      <c r="E136" s="167"/>
      <c r="F136" s="168"/>
      <c r="G136" s="169"/>
    </row>
    <row r="137" spans="1:14" ht="15" customHeight="1">
      <c r="A137" s="180"/>
      <c r="B137" s="181"/>
      <c r="C137" s="182"/>
      <c r="D137" s="194"/>
      <c r="E137" s="170"/>
      <c r="F137" s="171"/>
      <c r="G137" s="172"/>
    </row>
    <row r="138" spans="1:14" ht="16.05" customHeight="1" thickBot="1">
      <c r="A138" s="180"/>
      <c r="B138" s="181"/>
      <c r="C138" s="182"/>
      <c r="D138" s="195"/>
      <c r="E138" s="173"/>
      <c r="F138" s="174"/>
      <c r="G138" s="175"/>
      <c r="H138" s="48"/>
    </row>
    <row r="139" spans="1:14" ht="32.25" customHeight="1">
      <c r="A139" s="180"/>
      <c r="B139" s="181"/>
      <c r="C139" s="182"/>
      <c r="D139" s="193" t="s">
        <v>292</v>
      </c>
      <c r="E139" s="208" t="str">
        <f>IF(AND(E80&lt;&gt;"",E83&lt;&gt;"",E131&lt;&gt;""),VLOOKUP(E80,Parametry!$A$51:$E$59,5,0)*E83*(1-E131)/1000,"")</f>
        <v/>
      </c>
      <c r="F139" s="209"/>
      <c r="G139" s="210"/>
      <c r="H139" s="152" t="s">
        <v>437</v>
      </c>
      <c r="I139" s="153"/>
      <c r="J139" s="153"/>
      <c r="K139" s="153"/>
      <c r="L139" s="153"/>
      <c r="M139" s="153"/>
      <c r="N139" s="153"/>
    </row>
    <row r="140" spans="1:14" ht="35.25" customHeight="1" thickBot="1">
      <c r="A140" s="180"/>
      <c r="B140" s="181"/>
      <c r="C140" s="182"/>
      <c r="D140" s="195"/>
      <c r="E140" s="214"/>
      <c r="F140" s="215"/>
      <c r="G140" s="216"/>
      <c r="H140" s="150" t="s">
        <v>436</v>
      </c>
      <c r="I140" s="151"/>
      <c r="J140" s="151"/>
      <c r="K140" s="151"/>
    </row>
    <row r="141" spans="1:14" ht="16.05" customHeight="1">
      <c r="A141" s="180"/>
      <c r="B141" s="181"/>
      <c r="C141" s="182"/>
      <c r="D141" s="193" t="s">
        <v>403</v>
      </c>
      <c r="E141" s="208"/>
      <c r="F141" s="209"/>
      <c r="G141" s="210"/>
      <c r="H141" s="48"/>
    </row>
    <row r="142" spans="1:14" ht="16.05" customHeight="1" thickBot="1">
      <c r="A142" s="180"/>
      <c r="B142" s="181"/>
      <c r="C142" s="182"/>
      <c r="D142" s="195"/>
      <c r="E142" s="214"/>
      <c r="F142" s="215"/>
      <c r="G142" s="216"/>
      <c r="H142" s="139"/>
    </row>
    <row r="143" spans="1:14" ht="16.05" customHeight="1">
      <c r="A143" s="180"/>
      <c r="B143" s="181"/>
      <c r="C143" s="182"/>
      <c r="D143" s="193" t="s">
        <v>401</v>
      </c>
      <c r="E143" s="208" t="str">
        <f>IFERROR(E139/E141,"")</f>
        <v/>
      </c>
      <c r="F143" s="209"/>
      <c r="G143" s="210"/>
      <c r="H143" s="139"/>
    </row>
    <row r="144" spans="1:14" ht="16.05" customHeight="1" thickBot="1">
      <c r="A144" s="180"/>
      <c r="B144" s="181"/>
      <c r="C144" s="182"/>
      <c r="D144" s="195"/>
      <c r="E144" s="214"/>
      <c r="F144" s="215"/>
      <c r="G144" s="216"/>
      <c r="H144" s="48"/>
    </row>
    <row r="145" spans="1:7" ht="15" customHeight="1">
      <c r="A145" s="180"/>
      <c r="B145" s="181"/>
      <c r="C145" s="182"/>
      <c r="D145" s="193" t="s">
        <v>367</v>
      </c>
      <c r="E145" s="227"/>
      <c r="F145" s="228"/>
      <c r="G145" s="229"/>
    </row>
    <row r="146" spans="1:7" ht="16.05" customHeight="1" thickBot="1">
      <c r="A146" s="180"/>
      <c r="B146" s="181"/>
      <c r="C146" s="182"/>
      <c r="D146" s="195"/>
      <c r="E146" s="230"/>
      <c r="F146" s="231"/>
      <c r="G146" s="232"/>
    </row>
    <row r="147" spans="1:7" ht="16.05" customHeight="1">
      <c r="A147" s="180"/>
      <c r="B147" s="181"/>
      <c r="C147" s="182"/>
      <c r="D147" s="193" t="s">
        <v>307</v>
      </c>
      <c r="E147" s="202"/>
      <c r="F147" s="203"/>
      <c r="G147" s="204"/>
    </row>
    <row r="148" spans="1:7" ht="16.05" customHeight="1" thickBot="1">
      <c r="A148" s="180"/>
      <c r="B148" s="181"/>
      <c r="C148" s="182"/>
      <c r="D148" s="195"/>
      <c r="E148" s="224"/>
      <c r="F148" s="225"/>
      <c r="G148" s="226"/>
    </row>
    <row r="149" spans="1:7" ht="16.05" customHeight="1">
      <c r="A149" s="180"/>
      <c r="B149" s="181"/>
      <c r="C149" s="182"/>
      <c r="D149" s="194" t="s">
        <v>378</v>
      </c>
      <c r="E149" s="218"/>
      <c r="F149" s="219"/>
      <c r="G149" s="220"/>
    </row>
    <row r="150" spans="1:7" ht="33" customHeight="1" thickBot="1">
      <c r="A150" s="180"/>
      <c r="B150" s="181"/>
      <c r="C150" s="182"/>
      <c r="D150" s="195"/>
      <c r="E150" s="221"/>
      <c r="F150" s="222"/>
      <c r="G150" s="223"/>
    </row>
    <row r="151" spans="1:7" ht="15" customHeight="1">
      <c r="A151" s="180"/>
      <c r="B151" s="181"/>
      <c r="C151" s="182"/>
      <c r="D151" s="193" t="s">
        <v>308</v>
      </c>
      <c r="E151" s="218"/>
      <c r="F151" s="219"/>
      <c r="G151" s="220"/>
    </row>
    <row r="152" spans="1:7" ht="16.05" customHeight="1" thickBot="1">
      <c r="A152" s="180"/>
      <c r="B152" s="181"/>
      <c r="C152" s="182"/>
      <c r="D152" s="195"/>
      <c r="E152" s="221"/>
      <c r="F152" s="222"/>
      <c r="G152" s="223"/>
    </row>
    <row r="153" spans="1:7" ht="28.5" customHeight="1">
      <c r="A153" s="180"/>
      <c r="B153" s="181"/>
      <c r="C153" s="182"/>
      <c r="D153" s="193" t="s">
        <v>252</v>
      </c>
      <c r="E153" s="202"/>
      <c r="F153" s="203"/>
      <c r="G153" s="204"/>
    </row>
    <row r="154" spans="1:7" ht="33" customHeight="1" thickBot="1">
      <c r="A154" s="180"/>
      <c r="B154" s="181"/>
      <c r="C154" s="182"/>
      <c r="D154" s="195"/>
      <c r="E154" s="224"/>
      <c r="F154" s="225"/>
      <c r="G154" s="226"/>
    </row>
    <row r="155" spans="1:7" ht="27.3" customHeight="1">
      <c r="A155" s="180"/>
      <c r="B155" s="181"/>
      <c r="C155" s="182"/>
      <c r="D155" s="193" t="s">
        <v>250</v>
      </c>
      <c r="E155" s="202"/>
      <c r="F155" s="203"/>
      <c r="G155" s="204"/>
    </row>
    <row r="156" spans="1:7" ht="33" customHeight="1" thickBot="1">
      <c r="A156" s="180"/>
      <c r="B156" s="181"/>
      <c r="C156" s="182"/>
      <c r="D156" s="195"/>
      <c r="E156" s="224"/>
      <c r="F156" s="225"/>
      <c r="G156" s="226"/>
    </row>
    <row r="157" spans="1:7" ht="32.25" customHeight="1">
      <c r="A157" s="180"/>
      <c r="B157" s="181"/>
      <c r="C157" s="182"/>
      <c r="D157" s="193" t="s">
        <v>251</v>
      </c>
      <c r="E157" s="202"/>
      <c r="F157" s="203"/>
      <c r="G157" s="204"/>
    </row>
    <row r="158" spans="1:7" ht="34.5" customHeight="1" thickBot="1">
      <c r="A158" s="180"/>
      <c r="B158" s="181"/>
      <c r="C158" s="182"/>
      <c r="D158" s="195"/>
      <c r="E158" s="224"/>
      <c r="F158" s="225"/>
      <c r="G158" s="226"/>
    </row>
    <row r="159" spans="1:7" ht="15" customHeight="1">
      <c r="A159" s="180"/>
      <c r="B159" s="181"/>
      <c r="C159" s="182"/>
      <c r="D159" s="193" t="s">
        <v>261</v>
      </c>
      <c r="E159" s="218"/>
      <c r="F159" s="219"/>
      <c r="G159" s="220"/>
    </row>
    <row r="160" spans="1:7" ht="16.05" customHeight="1" thickBot="1">
      <c r="A160" s="180"/>
      <c r="B160" s="181"/>
      <c r="C160" s="182"/>
      <c r="D160" s="195"/>
      <c r="E160" s="221"/>
      <c r="F160" s="222"/>
      <c r="G160" s="223"/>
    </row>
    <row r="161" spans="1:7" ht="15" customHeight="1">
      <c r="A161" s="180"/>
      <c r="B161" s="181"/>
      <c r="C161" s="182"/>
      <c r="D161" s="193" t="s">
        <v>216</v>
      </c>
      <c r="E161" s="218"/>
      <c r="F161" s="219"/>
      <c r="G161" s="220"/>
    </row>
    <row r="162" spans="1:7" ht="16.05" customHeight="1" thickBot="1">
      <c r="A162" s="183"/>
      <c r="B162" s="184"/>
      <c r="C162" s="185"/>
      <c r="D162" s="195"/>
      <c r="E162" s="221"/>
      <c r="F162" s="222"/>
      <c r="G162" s="223"/>
    </row>
    <row r="163" spans="1:7" ht="15" thickBot="1">
      <c r="A163" s="158" t="s">
        <v>410</v>
      </c>
      <c r="B163" s="159"/>
      <c r="C163" s="159"/>
      <c r="D163" s="159"/>
      <c r="E163" s="159"/>
      <c r="F163" s="159"/>
      <c r="G163" s="160"/>
    </row>
    <row r="164" spans="1:7" ht="102" customHeight="1" thickBot="1">
      <c r="A164" s="161" t="s">
        <v>411</v>
      </c>
      <c r="B164" s="162"/>
      <c r="C164" s="162"/>
      <c r="D164" s="162"/>
      <c r="E164" s="162"/>
      <c r="F164" s="162"/>
      <c r="G164" s="163"/>
    </row>
    <row r="165" spans="1:7" ht="58.5" customHeight="1" thickBot="1">
      <c r="A165" s="141" t="s">
        <v>413</v>
      </c>
      <c r="B165" s="142"/>
      <c r="C165" s="142"/>
      <c r="D165" s="142"/>
      <c r="E165" s="142"/>
      <c r="F165" s="142"/>
      <c r="G165" s="143"/>
    </row>
    <row r="166" spans="1:7" ht="44.25" customHeight="1" thickBot="1">
      <c r="A166" s="164" t="s">
        <v>412</v>
      </c>
      <c r="B166" s="165"/>
      <c r="C166" s="165"/>
      <c r="D166" s="165"/>
      <c r="E166" s="165"/>
      <c r="F166" s="165"/>
      <c r="G166" s="166"/>
    </row>
    <row r="167" spans="1:7" ht="16.5" customHeight="1" thickBot="1">
      <c r="A167" s="146" t="s">
        <v>442</v>
      </c>
      <c r="B167" s="147"/>
      <c r="C167" s="147"/>
      <c r="D167" s="147"/>
      <c r="E167" s="147"/>
      <c r="F167" s="147"/>
      <c r="G167" s="148"/>
    </row>
    <row r="168" spans="1:7" ht="75.75" customHeight="1" thickBot="1">
      <c r="A168" s="141" t="s">
        <v>441</v>
      </c>
      <c r="B168" s="142"/>
      <c r="C168" s="142"/>
      <c r="D168" s="142"/>
      <c r="E168" s="142"/>
      <c r="F168" s="142"/>
      <c r="G168" s="143"/>
    </row>
    <row r="169" spans="1:7" ht="50.25" customHeight="1" thickBot="1">
      <c r="A169" s="141" t="s">
        <v>443</v>
      </c>
      <c r="B169" s="142"/>
      <c r="C169" s="142"/>
      <c r="D169" s="142"/>
      <c r="E169" s="142"/>
      <c r="F169" s="142"/>
      <c r="G169" s="143"/>
    </row>
    <row r="170" spans="1:7" ht="54" customHeight="1" thickBot="1">
      <c r="A170" s="141" t="s">
        <v>444</v>
      </c>
      <c r="B170" s="142"/>
      <c r="C170" s="142"/>
      <c r="D170" s="142"/>
      <c r="E170" s="142"/>
      <c r="F170" s="142"/>
      <c r="G170" s="143"/>
    </row>
    <row r="171" spans="1:7" ht="39" customHeight="1" thickBot="1">
      <c r="A171" s="141" t="s">
        <v>445</v>
      </c>
      <c r="B171" s="142"/>
      <c r="C171" s="142"/>
      <c r="D171" s="142"/>
      <c r="E171" s="142"/>
      <c r="F171" s="142"/>
      <c r="G171" s="143"/>
    </row>
    <row r="172" spans="1:7" ht="35.25" customHeight="1" thickBot="1">
      <c r="A172" s="141" t="s">
        <v>446</v>
      </c>
      <c r="B172" s="142"/>
      <c r="C172" s="142"/>
      <c r="D172" s="142"/>
      <c r="E172" s="142"/>
      <c r="F172" s="142"/>
      <c r="G172" s="143"/>
    </row>
    <row r="173" spans="1:7" ht="15" thickBot="1"/>
    <row r="174" spans="1:7" ht="76.8" customHeight="1" thickBot="1">
      <c r="B174" s="233"/>
      <c r="C174" s="234"/>
      <c r="D174" s="234"/>
      <c r="E174" s="234"/>
      <c r="F174" s="234"/>
      <c r="G174" s="235"/>
    </row>
    <row r="175" spans="1:7">
      <c r="B175" s="48" t="s">
        <v>361</v>
      </c>
    </row>
  </sheetData>
  <sheetProtection formatCells="0" formatColumns="0" formatRows="0" insertColumns="0" insertRows="0" insertHyperlinks="0" deleteColumns="0" deleteRows="0" sort="0" autoFilter="0" pivotTables="0"/>
  <mergeCells count="202">
    <mergeCell ref="H121:H122"/>
    <mergeCell ref="H129:H130"/>
    <mergeCell ref="H35:H36"/>
    <mergeCell ref="H48:H49"/>
    <mergeCell ref="A30:G30"/>
    <mergeCell ref="A31:G31"/>
    <mergeCell ref="H62:H63"/>
    <mergeCell ref="H52:H53"/>
    <mergeCell ref="H66:H67"/>
    <mergeCell ref="H60:H61"/>
    <mergeCell ref="D54:D56"/>
    <mergeCell ref="E62:G63"/>
    <mergeCell ref="D62:D63"/>
    <mergeCell ref="E54:G56"/>
    <mergeCell ref="E57:G59"/>
    <mergeCell ref="D60:D61"/>
    <mergeCell ref="D57:D59"/>
    <mergeCell ref="D66:G67"/>
    <mergeCell ref="E116:G117"/>
    <mergeCell ref="E83:G85"/>
    <mergeCell ref="D86:D87"/>
    <mergeCell ref="E86:G87"/>
    <mergeCell ref="D77:D79"/>
    <mergeCell ref="A118:C128"/>
    <mergeCell ref="E106:G108"/>
    <mergeCell ref="E131:G132"/>
    <mergeCell ref="A131:C132"/>
    <mergeCell ref="E42:G44"/>
    <mergeCell ref="D37:D39"/>
    <mergeCell ref="A66:C67"/>
    <mergeCell ref="A68:C89"/>
    <mergeCell ref="D40:D41"/>
    <mergeCell ref="E40:G41"/>
    <mergeCell ref="E88:G89"/>
    <mergeCell ref="D71:D73"/>
    <mergeCell ref="E71:G73"/>
    <mergeCell ref="E74:G76"/>
    <mergeCell ref="D74:D76"/>
    <mergeCell ref="D50:D51"/>
    <mergeCell ref="E50:G51"/>
    <mergeCell ref="D112:D113"/>
    <mergeCell ref="D114:D115"/>
    <mergeCell ref="D116:D117"/>
    <mergeCell ref="E114:G115"/>
    <mergeCell ref="D106:D108"/>
    <mergeCell ref="D109:D111"/>
    <mergeCell ref="E109:G111"/>
    <mergeCell ref="E123:G124"/>
    <mergeCell ref="D118:D120"/>
    <mergeCell ref="E118:G120"/>
    <mergeCell ref="D123:D124"/>
    <mergeCell ref="A13:B13"/>
    <mergeCell ref="A14:G14"/>
    <mergeCell ref="E23:G23"/>
    <mergeCell ref="E24:G24"/>
    <mergeCell ref="E25:G25"/>
    <mergeCell ref="C13:G13"/>
    <mergeCell ref="C16:G16"/>
    <mergeCell ref="A20:B20"/>
    <mergeCell ref="E32:G34"/>
    <mergeCell ref="A26:D26"/>
    <mergeCell ref="A27:D27"/>
    <mergeCell ref="A28:D28"/>
    <mergeCell ref="E26:G26"/>
    <mergeCell ref="E27:G27"/>
    <mergeCell ref="E28:G28"/>
    <mergeCell ref="A29:G29"/>
    <mergeCell ref="A32:D34"/>
    <mergeCell ref="A16:B16"/>
    <mergeCell ref="C17:G19"/>
    <mergeCell ref="A17:B19"/>
    <mergeCell ref="A15:B15"/>
    <mergeCell ref="C15:G15"/>
    <mergeCell ref="E60:G61"/>
    <mergeCell ref="D88:D89"/>
    <mergeCell ref="C20:G20"/>
    <mergeCell ref="A25:D25"/>
    <mergeCell ref="A24:D24"/>
    <mergeCell ref="A23:D23"/>
    <mergeCell ref="D68:D70"/>
    <mergeCell ref="E68:G70"/>
    <mergeCell ref="D80:D82"/>
    <mergeCell ref="E80:G82"/>
    <mergeCell ref="D42:D44"/>
    <mergeCell ref="D45:D47"/>
    <mergeCell ref="D48:D49"/>
    <mergeCell ref="A35:C36"/>
    <mergeCell ref="D52:G53"/>
    <mergeCell ref="A52:C53"/>
    <mergeCell ref="E37:G39"/>
    <mergeCell ref="A22:B22"/>
    <mergeCell ref="A21:B21"/>
    <mergeCell ref="C21:G21"/>
    <mergeCell ref="C22:G22"/>
    <mergeCell ref="E77:G79"/>
    <mergeCell ref="E45:G47"/>
    <mergeCell ref="D131:D132"/>
    <mergeCell ref="A1:G1"/>
    <mergeCell ref="A2:B2"/>
    <mergeCell ref="A11:G11"/>
    <mergeCell ref="A12:B12"/>
    <mergeCell ref="A3:B3"/>
    <mergeCell ref="A4:B4"/>
    <mergeCell ref="A5:B5"/>
    <mergeCell ref="A6:B6"/>
    <mergeCell ref="C3:G3"/>
    <mergeCell ref="C4:G4"/>
    <mergeCell ref="C5:G5"/>
    <mergeCell ref="C6:G6"/>
    <mergeCell ref="A8:B8"/>
    <mergeCell ref="A7:B7"/>
    <mergeCell ref="C7:G7"/>
    <mergeCell ref="C12:G12"/>
    <mergeCell ref="C2:G2"/>
    <mergeCell ref="C8:G8"/>
    <mergeCell ref="A9:B9"/>
    <mergeCell ref="C9:G9"/>
    <mergeCell ref="A10:B10"/>
    <mergeCell ref="C10:G10"/>
    <mergeCell ref="D35:G36"/>
    <mergeCell ref="E136:G138"/>
    <mergeCell ref="B174:G174"/>
    <mergeCell ref="D121:D122"/>
    <mergeCell ref="E121:G122"/>
    <mergeCell ref="D153:D154"/>
    <mergeCell ref="E153:G154"/>
    <mergeCell ref="D64:D65"/>
    <mergeCell ref="A54:C65"/>
    <mergeCell ref="E64:G65"/>
    <mergeCell ref="D141:D142"/>
    <mergeCell ref="E141:G142"/>
    <mergeCell ref="D143:D144"/>
    <mergeCell ref="E143:G144"/>
    <mergeCell ref="A129:C130"/>
    <mergeCell ref="D129:G130"/>
    <mergeCell ref="D161:D162"/>
    <mergeCell ref="E161:G162"/>
    <mergeCell ref="D147:D148"/>
    <mergeCell ref="E147:G148"/>
    <mergeCell ref="E112:G113"/>
    <mergeCell ref="E127:G128"/>
    <mergeCell ref="D127:D128"/>
    <mergeCell ref="D125:D126"/>
    <mergeCell ref="E125:G126"/>
    <mergeCell ref="E48:G49"/>
    <mergeCell ref="E100:G102"/>
    <mergeCell ref="D103:D105"/>
    <mergeCell ref="E103:G105"/>
    <mergeCell ref="H50:H51"/>
    <mergeCell ref="A133:C162"/>
    <mergeCell ref="D133:D135"/>
    <mergeCell ref="D139:D140"/>
    <mergeCell ref="D149:D150"/>
    <mergeCell ref="E139:G140"/>
    <mergeCell ref="D151:D152"/>
    <mergeCell ref="E151:G152"/>
    <mergeCell ref="D159:D160"/>
    <mergeCell ref="E159:G160"/>
    <mergeCell ref="D155:D156"/>
    <mergeCell ref="D157:D158"/>
    <mergeCell ref="E155:G156"/>
    <mergeCell ref="E157:G158"/>
    <mergeCell ref="D145:D146"/>
    <mergeCell ref="E145:G146"/>
    <mergeCell ref="E149:G150"/>
    <mergeCell ref="E133:G135"/>
    <mergeCell ref="D136:D138"/>
    <mergeCell ref="D97:D99"/>
    <mergeCell ref="A93:C94"/>
    <mergeCell ref="A95:C96"/>
    <mergeCell ref="H64:H65"/>
    <mergeCell ref="D83:D85"/>
    <mergeCell ref="A90:G90"/>
    <mergeCell ref="D100:D102"/>
    <mergeCell ref="H77:H79"/>
    <mergeCell ref="A92:G92"/>
    <mergeCell ref="A91:G91"/>
    <mergeCell ref="H80:H82"/>
    <mergeCell ref="A169:G169"/>
    <mergeCell ref="A170:G170"/>
    <mergeCell ref="A171:G171"/>
    <mergeCell ref="A172:G172"/>
    <mergeCell ref="H118:R120"/>
    <mergeCell ref="A167:G167"/>
    <mergeCell ref="I50:O50"/>
    <mergeCell ref="I51:O51"/>
    <mergeCell ref="H140:K140"/>
    <mergeCell ref="H139:N139"/>
    <mergeCell ref="A168:G168"/>
    <mergeCell ref="I131:I132"/>
    <mergeCell ref="H103:R105"/>
    <mergeCell ref="J131:J132"/>
    <mergeCell ref="A163:G163"/>
    <mergeCell ref="A164:G164"/>
    <mergeCell ref="A165:G165"/>
    <mergeCell ref="A166:G166"/>
    <mergeCell ref="E97:G99"/>
    <mergeCell ref="D93:G94"/>
    <mergeCell ref="H93:H94"/>
    <mergeCell ref="D95:G96"/>
    <mergeCell ref="A37:C51"/>
    <mergeCell ref="A97:C117"/>
  </mergeCells>
  <conditionalFormatting sqref="C8:G9 C10">
    <cfRule type="expression" dxfId="37" priority="25">
      <formula>$C$7=""</formula>
    </cfRule>
  </conditionalFormatting>
  <conditionalFormatting sqref="C21:G21">
    <cfRule type="expression" dxfId="36" priority="22">
      <formula>$C$20="☒ TAK"</formula>
    </cfRule>
  </conditionalFormatting>
  <conditionalFormatting sqref="D66">
    <cfRule type="expression" dxfId="35" priority="33">
      <formula>$D$52="☒ NIE"</formula>
    </cfRule>
  </conditionalFormatting>
  <conditionalFormatting sqref="D35:G36 E97 E100:G108">
    <cfRule type="expression" dxfId="34" priority="15">
      <formula>$E$26="☒ TAK"</formula>
    </cfRule>
  </conditionalFormatting>
  <conditionalFormatting sqref="D52:G53">
    <cfRule type="expression" dxfId="33" priority="5">
      <formula>OR($E$28="☒ TAK",$E$26="☒ TAK")</formula>
    </cfRule>
  </conditionalFormatting>
  <conditionalFormatting sqref="D93:G94">
    <cfRule type="expression" dxfId="32" priority="3">
      <formula>$D$35="☒ TAK"</formula>
    </cfRule>
  </conditionalFormatting>
  <conditionalFormatting sqref="D95:G96">
    <cfRule type="expression" dxfId="31" priority="2">
      <formula>$D$93="☒ TAK"</formula>
    </cfRule>
  </conditionalFormatting>
  <conditionalFormatting sqref="D129:G130">
    <cfRule type="expression" dxfId="30" priority="4">
      <formula>OR($E$77&lt;&gt;"")</formula>
    </cfRule>
  </conditionalFormatting>
  <conditionalFormatting sqref="E54">
    <cfRule type="expression" dxfId="29" priority="36">
      <formula>AND($D$52="☒ TAK",$E$26="☒ TAK")</formula>
    </cfRule>
  </conditionalFormatting>
  <conditionalFormatting sqref="E123">
    <cfRule type="expression" dxfId="28" priority="1">
      <formula>$E$27="☒ TAK"</formula>
    </cfRule>
  </conditionalFormatting>
  <conditionalFormatting sqref="E32:G34">
    <cfRule type="expression" dxfId="27" priority="16">
      <formula>$E$26="☒ TAK"</formula>
    </cfRule>
  </conditionalFormatting>
  <conditionalFormatting sqref="E37:G39 E40 E42:G51">
    <cfRule type="expression" dxfId="26" priority="37">
      <formula>$D$35="☒ TAK"</formula>
    </cfRule>
  </conditionalFormatting>
  <conditionalFormatting sqref="E54:G56">
    <cfRule type="expression" dxfId="25" priority="17">
      <formula>$E$26="☒ NIE"</formula>
    </cfRule>
  </conditionalFormatting>
  <conditionalFormatting sqref="E57:G63">
    <cfRule type="expression" dxfId="24" priority="6">
      <formula>AND($D$52="☒ TAK",$E$28="☒ TAK")</formula>
    </cfRule>
  </conditionalFormatting>
  <conditionalFormatting sqref="E64:G65">
    <cfRule type="expression" dxfId="23" priority="20">
      <formula>$E$62="☒ TAK"</formula>
    </cfRule>
  </conditionalFormatting>
  <conditionalFormatting sqref="E68:G73">
    <cfRule type="expression" dxfId="22" priority="35">
      <formula>AND($D$66="☒ TAK",$E$26="☒ TAK")</formula>
    </cfRule>
  </conditionalFormatting>
  <conditionalFormatting sqref="E77:G79">
    <cfRule type="expression" dxfId="21" priority="13">
      <formula>AND($D$66="☒ TAK",$E$28="☒ TAK")</formula>
    </cfRule>
  </conditionalFormatting>
  <conditionalFormatting sqref="E80:G89">
    <cfRule type="expression" dxfId="20" priority="11">
      <formula>$E$77 = ""</formula>
    </cfRule>
    <cfRule type="expression" dxfId="19" priority="12">
      <formula>$E$77 &lt;&gt; "Pompa ciepła"</formula>
    </cfRule>
  </conditionalFormatting>
  <conditionalFormatting sqref="E112:G117">
    <cfRule type="expression" dxfId="18" priority="9">
      <formula>$E$26="☒ TAK"</formula>
    </cfRule>
  </conditionalFormatting>
  <conditionalFormatting sqref="E118:G122 E125:G128">
    <cfRule type="expression" dxfId="17" priority="42">
      <formula>$E$27="☒ TAK"</formula>
    </cfRule>
  </conditionalFormatting>
  <conditionalFormatting sqref="E131:G132">
    <cfRule type="expression" dxfId="16" priority="7">
      <formula>AND($D$129="☒ TAK",$E$77 &lt;&gt; "Pompa ciepła")</formula>
    </cfRule>
  </conditionalFormatting>
  <conditionalFormatting sqref="E145:G146 E133:G140 E141">
    <cfRule type="expression" dxfId="15" priority="32">
      <formula>$E$28="☒ TAK"</formula>
    </cfRule>
  </conditionalFormatting>
  <conditionalFormatting sqref="E145:G146">
    <cfRule type="expression" dxfId="14" priority="27">
      <formula>$E$133="Biomasa"</formula>
    </cfRule>
  </conditionalFormatting>
  <conditionalFormatting sqref="E147:G152">
    <cfRule type="expression" dxfId="13" priority="29">
      <formula>OR($E$133="Biomasa",$E$133="Instalacja gazowa")</formula>
    </cfRule>
  </conditionalFormatting>
  <conditionalFormatting sqref="E153:G162">
    <cfRule type="expression" dxfId="12" priority="10">
      <formula>$E$28="☒ TAK"</formula>
    </cfRule>
  </conditionalFormatting>
  <dataValidations count="17">
    <dataValidation type="list" allowBlank="1" showInputMessage="1" showErrorMessage="1" sqref="C8:G8" xr:uid="{C2F460DE-28C7-4754-933A-6825C743E5DF}">
      <formula1>INDIRECT(SUBSTITUTE(SUBSTITUTE(SUBSTITUTE(SUBSTITUTE(SUBSTITUTE(C7," ","_"),",","_"),"-","_"),"(","_"),")","_"))</formula1>
    </dataValidation>
    <dataValidation type="date" operator="greaterThanOrEqual" allowBlank="1" showInputMessage="1" showErrorMessage="1" error="Należy wskazać poprawną datę. Data nie może być wcześniej niż dziś." sqref="E23:G23" xr:uid="{F70E6C75-71BF-4D41-B340-526D988F79C9}">
      <formula1>TODAY()</formula1>
    </dataValidation>
    <dataValidation type="date" operator="greaterThanOrEqual" allowBlank="1" showInputMessage="1" showErrorMessage="1" error="Należy wskazać poprawną datę. Data nie może być wcześniej niż dziś. " sqref="E24:G25" xr:uid="{A8A6AB08-0C93-487D-9A09-48BC93E676CC}">
      <formula1>TODAY()</formula1>
    </dataValidation>
    <dataValidation type="decimal" allowBlank="1" showInputMessage="1" showErrorMessage="1" error="Należy wskazać liczbę lat" sqref="C9:C10 D9:G9" xr:uid="{ACE6A58F-D4E0-40C2-8530-E7965C779CA3}">
      <formula1>0</formula1>
      <formula2>30</formula2>
    </dataValidation>
    <dataValidation type="decimal" operator="lessThan" allowBlank="1" showInputMessage="1" showErrorMessage="1" error="Należy wskazać odpowiednią wartość." sqref="E32:G34 E100:G102" xr:uid="{6313210E-D334-4F00-A7AE-BEACC87E30F6}">
      <formula1>1000</formula1>
    </dataValidation>
    <dataValidation type="decimal" operator="lessThanOrEqual" allowBlank="1" showInputMessage="1" showErrorMessage="1" error="Należy wskazać odpowiednią wartość." sqref="F37:G39 E37:E40" xr:uid="{7E81C7CA-DD90-4AE7-9D0C-E718CB69CCE7}">
      <formula1>150</formula1>
    </dataValidation>
    <dataValidation type="decimal" operator="lessThan" allowBlank="1" showInputMessage="1" showErrorMessage="1" error="Należy wpisać tylko liczbę." sqref="E42:G44" xr:uid="{F5D89BAB-8E95-4342-B11D-33D61335CBD1}">
      <formula1>1000</formula1>
    </dataValidation>
    <dataValidation type="decimal" operator="lessThanOrEqual" allowBlank="1" showInputMessage="1" showErrorMessage="1" error="Należy wskazać odpowiednią wartość." sqref="E106:G108 E45:G49" xr:uid="{98FC961B-106D-423F-AC61-64B697A3253D}">
      <formula1>100</formula1>
    </dataValidation>
    <dataValidation type="decimal" operator="lessThan" allowBlank="1" showInputMessage="1" showErrorMessage="1" error="Należy wskazać odpowiednią wartość." sqref="E103:G105 E97" xr:uid="{125F8EC3-B6CC-4656-844A-045A02AD6245}">
      <formula1>150</formula1>
    </dataValidation>
    <dataValidation type="decimal" operator="lessThan" allowBlank="1" showInputMessage="1" showErrorMessage="1" error="Należy wskazać odpowiednią wartość." sqref="E118:G122 E136:G138" xr:uid="{C6306FF3-9F2C-4CBF-8EF5-A381098153E7}">
      <formula1>100</formula1>
    </dataValidation>
    <dataValidation type="decimal" operator="lessThan" allowBlank="1" showInputMessage="1" showErrorMessage="1" error="Należy wskazać odpowiednią wartość." sqref="E145:G146" xr:uid="{43C51BB7-9B24-47A6-91E3-7DF276B1D1B1}">
      <formula1>50</formula1>
    </dataValidation>
    <dataValidation operator="lessThan" allowBlank="1" showInputMessage="1" showErrorMessage="1" sqref="E109:G117 E74" xr:uid="{00D5BA9B-9912-4C6B-9C96-28478A4E2C72}"/>
    <dataValidation type="decimal" allowBlank="1" showInputMessage="1" showErrorMessage="1" error="Wartość musi być w przedziale 1-7" sqref="E141:G142" xr:uid="{B21F0693-0F84-4AAF-A513-0504D95917A1}">
      <formula1>1</formula1>
      <formula2>7</formula2>
    </dataValidation>
    <dataValidation type="decimal" operator="lessThanOrEqual" allowBlank="1" showInputMessage="1" showErrorMessage="1" sqref="D95:G96" xr:uid="{513DE5D0-4085-45B4-97CE-DEFC558CFDE5}">
      <formula1>E37</formula1>
    </dataValidation>
    <dataValidation type="list" operator="greaterThanOrEqual" allowBlank="1" showInputMessage="1" showErrorMessage="1" prompt="Wybierz z listy" sqref="E80:G82" xr:uid="{B67C5EFD-0330-4B83-A0BE-AADA7D2BC96C}">
      <formula1>INDIRECT(SUBSTITUTE(SUBSTITUTE(SUBSTITUTE(SUBSTITUTE(SUBSTITUTE(E77," ","_"),",","_"),"-","_"),"(","_"),")","_"))</formula1>
    </dataValidation>
    <dataValidation operator="lessThan" allowBlank="1" showInputMessage="1" showErrorMessage="1" error="Należy wskazać odpowiednią wartość." sqref="E139:G140 E54:G56 E57:G59 E68:G70 E71:G73" xr:uid="{88004982-FCA2-4972-B6E8-F068A5E867FC}"/>
    <dataValidation type="list" allowBlank="1" showInputMessage="1" showErrorMessage="1" prompt="Wybierz z listy" sqref="E147:G148" xr:uid="{7ED2E424-98B4-46D0-81FF-673D5A6CB51D}">
      <formula1>INDIRECT(SUBSTITUTE(SUBSTITUTE(SUBSTITUTE(SUBSTITUTE(SUBSTITUTE(E133," ","_"),",","_"),"-","_"),"(","_"),")","_"))</formula1>
    </dataValidation>
  </dataValidation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Wybierz z listy" xr:uid="{ABF3164B-3401-4C2C-A809-172B16F6F587}">
          <x14:formula1>
            <xm:f>Parametry!$C$2:$C$3</xm:f>
          </x14:formula1>
          <xm:sqref>D129:G130 C20 C22 D35:G36 D52:G53 E60:G63</xm:sqref>
        </x14:dataValidation>
        <x14:dataValidation type="list" allowBlank="1" showInputMessage="1" showErrorMessage="1" xr:uid="{00773347-B6A2-4986-BE68-CBCC1052C1DC}">
          <x14:formula1>
            <xm:f>Parametry!$C$28:$C$32</xm:f>
          </x14:formula1>
          <xm:sqref>C17:G19</xm:sqref>
        </x14:dataValidation>
        <x14:dataValidation type="list" allowBlank="1" showInputMessage="1" showErrorMessage="1" xr:uid="{4BC157ED-31F0-49B3-BD7B-D78D3935C5CC}">
          <x14:formula1>
            <xm:f>Parametry!$C$35:$C$38</xm:f>
          </x14:formula1>
          <xm:sqref>C16:G16</xm:sqref>
        </x14:dataValidation>
        <x14:dataValidation type="list" operator="greaterThanOrEqual" allowBlank="1" showInputMessage="1" showErrorMessage="1" error="Należy wpisać tylko liczbę." xr:uid="{BDDC06BA-8E60-4F2F-84A8-6EC5EA86B56F}">
          <x14:formula1>
            <xm:f>Parametry!$C$41:$C$44</xm:f>
          </x14:formula1>
          <xm:sqref>E133:G135</xm:sqref>
        </x14:dataValidation>
        <x14:dataValidation type="list" allowBlank="1" showInputMessage="1" showErrorMessage="1" xr:uid="{172031AA-F860-4E56-9365-6ECAF92DDB97}">
          <x14:formula1>
            <xm:f>Parametry!$C$2:$C$3</xm:f>
          </x14:formula1>
          <xm:sqref>D66:G67 D93:G94</xm:sqref>
        </x14:dataValidation>
        <x14:dataValidation type="list" operator="greaterThanOrEqual" allowBlank="1" showInputMessage="1" showErrorMessage="1" error="Należy wskazać poprawną datę. Data nie może być wcześniej niż dziś. " xr:uid="{56396BA3-31A3-4998-AA83-AF91B2100F71}">
          <x14:formula1>
            <xm:f>Parametry!$C$2:$C$3</xm:f>
          </x14:formula1>
          <xm:sqref>E26:G28</xm:sqref>
        </x14:dataValidation>
        <x14:dataValidation type="list" allowBlank="1" showInputMessage="1" showErrorMessage="1" xr:uid="{5879F8B1-A31C-4628-BC8E-07FFF2930BC0}">
          <x14:formula1>
            <xm:f>Parametry!$E$41:$E$45</xm:f>
          </x14:formula1>
          <xm:sqref>E77:G79</xm:sqref>
        </x14:dataValidation>
        <x14:dataValidation type="list" operator="lessThanOrEqual" allowBlank="1" showInputMessage="1" showErrorMessage="1" prompt="Wybór z listy" xr:uid="{D1305ADD-2B21-43D5-94DD-DF7C5F58279C}">
          <x14:formula1>
            <xm:f>Parametry!$A$22:$A$23</xm:f>
          </x14:formula1>
          <xm:sqref>E50:G51</xm:sqref>
        </x14:dataValidation>
        <x14:dataValidation type="list" allowBlank="1" showInputMessage="1" showErrorMessage="1" prompt="Wybierz z listy" xr:uid="{47E9E600-49D7-44E4-83A5-F146CC945CD1}">
          <x14:formula1>
            <xm:f>Parametry!$F$2:$F$17</xm:f>
          </x14:formula1>
          <xm:sqref>C7:G7</xm:sqref>
        </x14:dataValidation>
        <x14:dataValidation type="list" allowBlank="1" showInputMessage="1" showErrorMessage="1" prompt="Wybierz z listy" xr:uid="{160F8B8B-B8F9-4444-AFC8-40507856AA01}">
          <x14:formula1>
            <xm:f>Parametry!$C$42:$C$44</xm:f>
          </x14:formula1>
          <xm:sqref>E64:G65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7D87-D2EB-4AE6-AAB8-8058BB407888}">
  <sheetPr codeName="Arkusz2">
    <tabColor theme="5" tint="0.39997558519241921"/>
  </sheetPr>
  <dimension ref="A1:J22"/>
  <sheetViews>
    <sheetView showGridLines="0" zoomScale="90" zoomScaleNormal="90" workbookViewId="0">
      <selection activeCell="C22" sqref="C22:G22"/>
    </sheetView>
  </sheetViews>
  <sheetFormatPr defaultColWidth="9.21875" defaultRowHeight="14.4"/>
  <cols>
    <col min="1" max="1" width="4.21875" style="48" customWidth="1"/>
    <col min="2" max="2" width="41.21875" style="48" customWidth="1"/>
    <col min="3" max="3" width="16" style="48" customWidth="1"/>
    <col min="4" max="4" width="21.21875" style="48" customWidth="1"/>
    <col min="5" max="5" width="21.77734375" style="48" customWidth="1"/>
    <col min="6" max="6" width="20.77734375" style="48" customWidth="1"/>
    <col min="7" max="7" width="23.44140625" style="48" customWidth="1"/>
    <col min="8" max="8" width="45.77734375" style="48" bestFit="1" customWidth="1"/>
    <col min="9" max="9" width="17.21875" style="48" customWidth="1"/>
    <col min="10" max="10" width="15" style="48" customWidth="1"/>
    <col min="11" max="11" width="16.21875" style="48" customWidth="1"/>
    <col min="12" max="16384" width="9.21875" style="48"/>
  </cols>
  <sheetData>
    <row r="1" spans="1:10" ht="17.25" customHeight="1">
      <c r="A1" s="342" t="s">
        <v>39</v>
      </c>
      <c r="B1" s="343"/>
      <c r="C1" s="343"/>
      <c r="D1" s="343"/>
      <c r="E1" s="343"/>
      <c r="F1" s="343"/>
      <c r="G1" s="344"/>
      <c r="H1" s="348"/>
    </row>
    <row r="2" spans="1:10" ht="24.3" customHeight="1" thickBot="1">
      <c r="A2" s="345" t="s">
        <v>40</v>
      </c>
      <c r="B2" s="346"/>
      <c r="C2" s="346"/>
      <c r="D2" s="346"/>
      <c r="E2" s="346"/>
      <c r="F2" s="346"/>
      <c r="G2" s="347"/>
      <c r="H2" s="348"/>
    </row>
    <row r="3" spans="1:10" ht="27.3" customHeight="1">
      <c r="A3" s="84"/>
      <c r="B3" s="85" t="s">
        <v>338</v>
      </c>
      <c r="C3" s="349" t="s">
        <v>245</v>
      </c>
      <c r="D3" s="350"/>
      <c r="E3" s="350"/>
      <c r="F3" s="350"/>
      <c r="G3" s="351"/>
      <c r="H3" s="348"/>
    </row>
    <row r="4" spans="1:10" ht="15" customHeight="1">
      <c r="A4" s="84"/>
      <c r="B4" s="86"/>
      <c r="C4" s="352"/>
      <c r="D4" s="353"/>
      <c r="E4" s="353"/>
      <c r="F4" s="353"/>
      <c r="G4" s="354"/>
      <c r="H4" s="348"/>
    </row>
    <row r="5" spans="1:10" ht="16.05" customHeight="1" thickBot="1">
      <c r="A5" s="84"/>
      <c r="B5" s="86" t="s">
        <v>337</v>
      </c>
      <c r="C5" s="355"/>
      <c r="D5" s="356"/>
      <c r="E5" s="356"/>
      <c r="F5" s="356"/>
      <c r="G5" s="357"/>
      <c r="H5" s="348"/>
    </row>
    <row r="6" spans="1:10">
      <c r="A6" s="84"/>
      <c r="B6" s="87"/>
      <c r="C6" s="349"/>
      <c r="D6" s="351"/>
      <c r="E6" s="349" t="s">
        <v>41</v>
      </c>
      <c r="F6" s="360" t="s">
        <v>42</v>
      </c>
      <c r="G6" s="360" t="s">
        <v>43</v>
      </c>
      <c r="H6" s="348"/>
    </row>
    <row r="7" spans="1:10">
      <c r="A7" s="84" t="s">
        <v>44</v>
      </c>
      <c r="B7" s="87"/>
      <c r="C7" s="352" t="s">
        <v>45</v>
      </c>
      <c r="D7" s="354"/>
      <c r="E7" s="352"/>
      <c r="F7" s="361"/>
      <c r="G7" s="361"/>
      <c r="H7" s="348"/>
    </row>
    <row r="8" spans="1:10" ht="15" thickBot="1">
      <c r="A8" s="88"/>
      <c r="B8" s="87"/>
      <c r="C8" s="358"/>
      <c r="D8" s="359"/>
      <c r="E8" s="355"/>
      <c r="F8" s="362"/>
      <c r="G8" s="362"/>
      <c r="H8" s="348"/>
    </row>
    <row r="9" spans="1:10">
      <c r="A9" s="88"/>
      <c r="B9" s="87"/>
      <c r="C9" s="368" t="s">
        <v>46</v>
      </c>
      <c r="D9" s="368" t="s">
        <v>241</v>
      </c>
      <c r="E9" s="368" t="s">
        <v>47</v>
      </c>
      <c r="F9" s="372" t="s">
        <v>48</v>
      </c>
      <c r="G9" s="368" t="s">
        <v>379</v>
      </c>
      <c r="H9" s="371"/>
    </row>
    <row r="10" spans="1:10" ht="15" customHeight="1">
      <c r="A10" s="88"/>
      <c r="B10" s="87"/>
      <c r="C10" s="369"/>
      <c r="D10" s="369"/>
      <c r="E10" s="369"/>
      <c r="F10" s="373"/>
      <c r="G10" s="369"/>
      <c r="H10" s="371"/>
      <c r="I10" s="89"/>
      <c r="J10" s="89"/>
    </row>
    <row r="11" spans="1:10" ht="15" customHeight="1">
      <c r="A11" s="88"/>
      <c r="B11" s="87"/>
      <c r="C11" s="369"/>
      <c r="D11" s="369"/>
      <c r="E11" s="369"/>
      <c r="F11" s="373"/>
      <c r="G11" s="369"/>
      <c r="H11" s="371"/>
      <c r="I11" s="89"/>
      <c r="J11" s="89"/>
    </row>
    <row r="12" spans="1:10" ht="16.05" customHeight="1" thickBot="1">
      <c r="A12" s="90"/>
      <c r="B12" s="91"/>
      <c r="C12" s="370"/>
      <c r="D12" s="370"/>
      <c r="E12" s="370"/>
      <c r="F12" s="374"/>
      <c r="G12" s="370"/>
      <c r="H12" s="371"/>
      <c r="I12" s="89"/>
      <c r="J12" s="89"/>
    </row>
    <row r="13" spans="1:10" ht="20.100000000000001" customHeight="1" thickBot="1">
      <c r="A13" s="92">
        <v>1</v>
      </c>
      <c r="B13" s="93" t="s">
        <v>190</v>
      </c>
      <c r="C13" s="94"/>
      <c r="D13" s="94"/>
      <c r="E13" s="94"/>
      <c r="F13" s="107">
        <f>SUM(C13:E13)</f>
        <v>0</v>
      </c>
      <c r="G13" s="126"/>
      <c r="H13" s="95" t="str">
        <f>IF(OR(ISBLANK(F13),ISBLANK(Formularz!E116),Formularz!E116=0, F13=0),"",IF(F13&lt;&gt;Formularz!E116,"🚩 UWAGA, Wartość niezgodna z formularzem w zakresie kosztu PV",""))</f>
        <v/>
      </c>
    </row>
    <row r="14" spans="1:10" ht="20.100000000000001" customHeight="1" thickBot="1">
      <c r="A14" s="92">
        <v>2</v>
      </c>
      <c r="B14" s="93" t="s">
        <v>49</v>
      </c>
      <c r="C14" s="94"/>
      <c r="D14" s="94"/>
      <c r="E14" s="94"/>
      <c r="F14" s="107">
        <f t="shared" ref="F14:F18" si="0">SUM(C14:E14)</f>
        <v>0</v>
      </c>
      <c r="G14" s="126"/>
      <c r="H14" s="95" t="str">
        <f>IF(OR(ISBLANK(F14),ISBLANK(Formularz!E127),Formularz!E127=0, F14=0),"",IF(F14&lt;&gt;Formularz!E127,"🚩 UWAGA, Wartość niezgodna z formularzem w zakresie kosztu magazynu",""))</f>
        <v/>
      </c>
    </row>
    <row r="15" spans="1:10" ht="20.100000000000001" customHeight="1" thickBot="1">
      <c r="A15" s="92">
        <v>3</v>
      </c>
      <c r="B15" s="93" t="s">
        <v>50</v>
      </c>
      <c r="C15" s="94"/>
      <c r="D15" s="94"/>
      <c r="E15" s="94"/>
      <c r="F15" s="107">
        <f t="shared" si="0"/>
        <v>0</v>
      </c>
      <c r="G15" s="126"/>
      <c r="H15" s="95" t="str">
        <f>IF(OR(ISBLANK(F15),ISBLANK(Formularz!E159),Formularz!E159=0, F15=0),"",IF(F15&lt;&gt;Formularz!E159,"🚩 UWAGA, Wartość niezgodna z formularzem w zakresie kosztu pompy ciepła",""))</f>
        <v/>
      </c>
    </row>
    <row r="16" spans="1:10" ht="20.100000000000001" customHeight="1" thickBot="1">
      <c r="A16" s="92">
        <v>4</v>
      </c>
      <c r="B16" s="93" t="s">
        <v>51</v>
      </c>
      <c r="C16" s="94"/>
      <c r="D16" s="94"/>
      <c r="E16" s="94"/>
      <c r="F16" s="107">
        <f t="shared" si="0"/>
        <v>0</v>
      </c>
      <c r="G16" s="127"/>
      <c r="H16" s="96"/>
    </row>
    <row r="17" spans="1:8" ht="20.100000000000001" customHeight="1" thickBot="1">
      <c r="A17" s="92">
        <v>5</v>
      </c>
      <c r="B17" s="93" t="s">
        <v>51</v>
      </c>
      <c r="C17" s="94"/>
      <c r="D17" s="94"/>
      <c r="E17" s="94"/>
      <c r="F17" s="107">
        <f t="shared" si="0"/>
        <v>0</v>
      </c>
      <c r="G17" s="127"/>
      <c r="H17" s="96"/>
    </row>
    <row r="18" spans="1:8" ht="20.100000000000001" customHeight="1" thickBot="1">
      <c r="A18" s="92" t="s">
        <v>52</v>
      </c>
      <c r="B18" s="97"/>
      <c r="C18" s="94"/>
      <c r="D18" s="94"/>
      <c r="E18" s="94"/>
      <c r="F18" s="107">
        <f t="shared" si="0"/>
        <v>0</v>
      </c>
      <c r="G18" s="127"/>
      <c r="H18" s="98"/>
    </row>
    <row r="19" spans="1:8" ht="16.05" customHeight="1" thickBot="1">
      <c r="A19" s="99"/>
      <c r="B19" s="100" t="s">
        <v>339</v>
      </c>
      <c r="C19" s="106">
        <f>SUM(C13:C18)</f>
        <v>0</v>
      </c>
      <c r="D19" s="106">
        <f t="shared" ref="D19:E19" si="1">SUM(D13:D18)</f>
        <v>0</v>
      </c>
      <c r="E19" s="106">
        <f t="shared" si="1"/>
        <v>0</v>
      </c>
      <c r="F19" s="106">
        <f>SUM(F13:F18)</f>
        <v>0</v>
      </c>
      <c r="G19" s="101"/>
      <c r="H19" s="363"/>
    </row>
    <row r="20" spans="1:8" ht="38.85" customHeight="1" thickBot="1">
      <c r="A20" s="102"/>
      <c r="B20" s="103" t="s">
        <v>244</v>
      </c>
      <c r="C20" s="364">
        <f>C19+D19</f>
        <v>0</v>
      </c>
      <c r="D20" s="364"/>
      <c r="E20" s="364"/>
      <c r="F20" s="364"/>
      <c r="G20" s="365"/>
      <c r="H20" s="363"/>
    </row>
    <row r="21" spans="1:8" ht="18.600000000000001" thickBot="1">
      <c r="A21" s="102"/>
      <c r="B21" s="104" t="s">
        <v>243</v>
      </c>
      <c r="C21" s="364">
        <f>E19</f>
        <v>0</v>
      </c>
      <c r="D21" s="364"/>
      <c r="E21" s="364"/>
      <c r="F21" s="364"/>
      <c r="G21" s="365"/>
      <c r="H21" s="363"/>
    </row>
    <row r="22" spans="1:8" ht="35.1" customHeight="1" thickBot="1">
      <c r="A22" s="102"/>
      <c r="B22" s="105" t="s">
        <v>242</v>
      </c>
      <c r="C22" s="366">
        <f>C20+C21</f>
        <v>0</v>
      </c>
      <c r="D22" s="366"/>
      <c r="E22" s="366"/>
      <c r="F22" s="366"/>
      <c r="G22" s="367"/>
      <c r="H22" s="363"/>
    </row>
  </sheetData>
  <sheetProtection sheet="1" objects="1" scenarios="1"/>
  <mergeCells count="22">
    <mergeCell ref="H19:H22"/>
    <mergeCell ref="C20:G20"/>
    <mergeCell ref="C21:G21"/>
    <mergeCell ref="C22:G22"/>
    <mergeCell ref="C9:C12"/>
    <mergeCell ref="D9:D12"/>
    <mergeCell ref="E9:E12"/>
    <mergeCell ref="G9:G12"/>
    <mergeCell ref="H9:H12"/>
    <mergeCell ref="F9:F12"/>
    <mergeCell ref="C6:D6"/>
    <mergeCell ref="H6:H8"/>
    <mergeCell ref="C7:D7"/>
    <mergeCell ref="C8:D8"/>
    <mergeCell ref="G6:G8"/>
    <mergeCell ref="E6:E8"/>
    <mergeCell ref="F6:F8"/>
    <mergeCell ref="A1:G1"/>
    <mergeCell ref="A2:G2"/>
    <mergeCell ref="H1:H2"/>
    <mergeCell ref="C3:G5"/>
    <mergeCell ref="H3:H5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EE42-A151-464A-B3D0-B4F1729AC9D2}">
  <sheetPr>
    <tabColor theme="6" tint="-0.249977111117893"/>
  </sheetPr>
  <dimension ref="B2:AA36"/>
  <sheetViews>
    <sheetView showGridLines="0" zoomScale="80" zoomScaleNormal="80" workbookViewId="0">
      <selection activeCell="M16" sqref="M16:N17"/>
    </sheetView>
  </sheetViews>
  <sheetFormatPr defaultRowHeight="14.4"/>
  <cols>
    <col min="1" max="1" width="4" customWidth="1"/>
    <col min="2" max="3" width="2.77734375" customWidth="1"/>
    <col min="26" max="26" width="3.21875" customWidth="1"/>
  </cols>
  <sheetData>
    <row r="2" spans="2:27" ht="12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2:27" ht="24.6">
      <c r="B3" s="24"/>
      <c r="D3" s="31" t="s">
        <v>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24"/>
    </row>
    <row r="4" spans="2:27">
      <c r="B4" s="24"/>
      <c r="Z4" s="24"/>
    </row>
    <row r="5" spans="2:27" ht="21.6">
      <c r="B5" s="24"/>
      <c r="D5" s="25" t="s">
        <v>1</v>
      </c>
      <c r="Z5" s="24"/>
    </row>
    <row r="6" spans="2:27">
      <c r="B6" s="24"/>
      <c r="Z6" s="24"/>
    </row>
    <row r="7" spans="2:27" ht="15" customHeight="1">
      <c r="B7" s="24"/>
      <c r="F7" s="377" t="s">
        <v>2</v>
      </c>
      <c r="G7" s="377"/>
      <c r="H7" s="377"/>
      <c r="I7" s="377"/>
      <c r="J7" s="377"/>
      <c r="K7" s="377"/>
      <c r="L7" s="378"/>
      <c r="M7" s="382" t="str">
        <f>IF(ISBLANK(Formularz!E32),"",Formularz!E32)</f>
        <v/>
      </c>
      <c r="N7" s="383"/>
      <c r="O7" s="386" t="str">
        <f>IF($M7&lt;&gt;"","✔","")</f>
        <v/>
      </c>
      <c r="P7" s="32"/>
      <c r="Q7" s="376" t="str">
        <f>IF(AND(T33&lt;&gt;"",M7&lt;&gt;""),IF(T33&gt;M7,"🚩 UWAGA, zwiększ moc przyłączeniową lub zmień parametry instalacji"," "),"")</f>
        <v/>
      </c>
      <c r="R7" s="376"/>
      <c r="S7" s="376"/>
      <c r="T7" s="376"/>
      <c r="U7" s="376"/>
      <c r="V7" s="376"/>
      <c r="W7" s="376"/>
      <c r="X7" s="376"/>
      <c r="Y7" s="32"/>
      <c r="Z7" s="24"/>
    </row>
    <row r="8" spans="2:27" ht="23.55" customHeight="1">
      <c r="B8" s="24"/>
      <c r="F8" s="377"/>
      <c r="G8" s="377"/>
      <c r="H8" s="377"/>
      <c r="I8" s="377"/>
      <c r="J8" s="377"/>
      <c r="K8" s="377"/>
      <c r="L8" s="378"/>
      <c r="M8" s="384"/>
      <c r="N8" s="385"/>
      <c r="O8" s="386"/>
      <c r="P8" s="32"/>
      <c r="Q8" s="376"/>
      <c r="R8" s="376"/>
      <c r="S8" s="376"/>
      <c r="T8" s="376"/>
      <c r="U8" s="376"/>
      <c r="V8" s="376"/>
      <c r="W8" s="376"/>
      <c r="X8" s="376"/>
      <c r="Y8" s="32"/>
      <c r="Z8" s="24"/>
    </row>
    <row r="9" spans="2:27" ht="15" customHeight="1">
      <c r="B9" s="24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4"/>
    </row>
    <row r="10" spans="2:27" ht="15" customHeight="1">
      <c r="B10" s="24"/>
      <c r="E10" s="35"/>
      <c r="F10" s="379" t="s">
        <v>3</v>
      </c>
      <c r="G10" s="379"/>
      <c r="H10" s="379"/>
      <c r="I10" s="379"/>
      <c r="J10" s="379"/>
      <c r="K10" s="379"/>
      <c r="L10" s="380"/>
      <c r="M10" s="382" t="str">
        <f>IF(AND(ISBLANK(Formularz!E37),ISBLANK(Formularz!E97)),"",Formularz!E37+Formularz!E97-Formularz!D95)</f>
        <v/>
      </c>
      <c r="N10" s="383"/>
      <c r="O10" s="392" t="str">
        <f>IF($M10&lt;&gt;"","✔","")</f>
        <v/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24"/>
      <c r="AA10" s="140"/>
    </row>
    <row r="11" spans="2:27" ht="24" customHeight="1">
      <c r="B11" s="24"/>
      <c r="D11" s="35"/>
      <c r="E11" s="35"/>
      <c r="F11" s="379"/>
      <c r="G11" s="379"/>
      <c r="H11" s="379"/>
      <c r="I11" s="379"/>
      <c r="J11" s="379"/>
      <c r="K11" s="379"/>
      <c r="L11" s="380"/>
      <c r="M11" s="384"/>
      <c r="N11" s="385"/>
      <c r="O11" s="392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24"/>
      <c r="AA11" s="140"/>
    </row>
    <row r="12" spans="2:27">
      <c r="B12" s="24"/>
      <c r="Z12" s="24"/>
      <c r="AA12" s="140"/>
    </row>
    <row r="13" spans="2:27" ht="15" customHeight="1">
      <c r="B13" s="24"/>
      <c r="E13" s="35"/>
      <c r="F13" s="377" t="s">
        <v>4</v>
      </c>
      <c r="G13" s="377"/>
      <c r="H13" s="377"/>
      <c r="I13" s="377"/>
      <c r="J13" s="377"/>
      <c r="K13" s="377"/>
      <c r="L13" s="378"/>
      <c r="M13" s="382" t="str">
        <f>IF(AND(ISBLANK(Formularz!E42),ISBLANK(Formularz!E100)),"",Formularz!E42+Formularz!E100)</f>
        <v/>
      </c>
      <c r="N13" s="383"/>
      <c r="O13" s="386" t="str">
        <f>IF($M13&lt;&gt;"","✔","")</f>
        <v/>
      </c>
      <c r="Z13" s="24"/>
    </row>
    <row r="14" spans="2:27" ht="15" customHeight="1">
      <c r="B14" s="24"/>
      <c r="D14" s="35"/>
      <c r="E14" s="35"/>
      <c r="F14" s="377"/>
      <c r="G14" s="377"/>
      <c r="H14" s="377"/>
      <c r="I14" s="377"/>
      <c r="J14" s="377"/>
      <c r="K14" s="377"/>
      <c r="L14" s="378"/>
      <c r="M14" s="384"/>
      <c r="N14" s="385"/>
      <c r="O14" s="386"/>
      <c r="Z14" s="24"/>
    </row>
    <row r="15" spans="2:27">
      <c r="B15" s="24"/>
      <c r="Z15" s="24"/>
    </row>
    <row r="16" spans="2:27" ht="15" customHeight="1">
      <c r="B16" s="24"/>
      <c r="E16" s="35"/>
      <c r="F16" s="377" t="s">
        <v>5</v>
      </c>
      <c r="G16" s="377"/>
      <c r="H16" s="377"/>
      <c r="I16" s="377"/>
      <c r="J16" s="377"/>
      <c r="K16" s="377"/>
      <c r="L16" s="378"/>
      <c r="M16" s="382" t="str">
        <f>IF(AND(ISBLANK(Formularz!E121),ISBLANK(Formularz!E48)),"",Formularz!E121+Formularz!E48)</f>
        <v/>
      </c>
      <c r="N16" s="383"/>
      <c r="O16" s="392" t="str">
        <f>IF($M16&lt;&gt;"","✔","")</f>
        <v/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24"/>
    </row>
    <row r="17" spans="2:26" ht="15" customHeight="1">
      <c r="B17" s="24"/>
      <c r="D17" s="35"/>
      <c r="E17" s="35"/>
      <c r="F17" s="377"/>
      <c r="G17" s="377"/>
      <c r="H17" s="377"/>
      <c r="I17" s="377"/>
      <c r="J17" s="377"/>
      <c r="K17" s="377"/>
      <c r="L17" s="378"/>
      <c r="M17" s="384"/>
      <c r="N17" s="385"/>
      <c r="O17" s="392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24"/>
    </row>
    <row r="18" spans="2:26">
      <c r="B18" s="24"/>
      <c r="Z18" s="24"/>
    </row>
    <row r="19" spans="2:26" ht="15" customHeight="1">
      <c r="B19" s="24"/>
      <c r="E19" s="35"/>
      <c r="F19" s="377" t="s">
        <v>6</v>
      </c>
      <c r="G19" s="377"/>
      <c r="H19" s="377"/>
      <c r="I19" s="377"/>
      <c r="J19" s="377"/>
      <c r="K19" s="377"/>
      <c r="L19" s="378"/>
      <c r="M19" s="382" t="str">
        <f>IF(AND(ISBLANK(Formularz!E118),ISBLANK(Formularz!E45)),"",Formularz!E118+Formularz!E45)</f>
        <v/>
      </c>
      <c r="N19" s="383"/>
      <c r="O19" s="386" t="str">
        <f>IF($M19&lt;&gt;"","✔","")</f>
        <v/>
      </c>
      <c r="Z19" s="24"/>
    </row>
    <row r="20" spans="2:26" ht="15" customHeight="1">
      <c r="B20" s="24"/>
      <c r="D20" s="35"/>
      <c r="E20" s="35"/>
      <c r="F20" s="377"/>
      <c r="G20" s="377"/>
      <c r="H20" s="377"/>
      <c r="I20" s="377"/>
      <c r="J20" s="377"/>
      <c r="K20" s="377"/>
      <c r="L20" s="378"/>
      <c r="M20" s="384"/>
      <c r="N20" s="385"/>
      <c r="O20" s="386"/>
      <c r="Z20" s="24"/>
    </row>
    <row r="21" spans="2:26" ht="33.6">
      <c r="B21" s="24"/>
      <c r="D21" s="30"/>
      <c r="E21" s="30"/>
      <c r="F21" s="30"/>
      <c r="G21" s="30"/>
      <c r="I21" s="28"/>
      <c r="J21" s="28"/>
      <c r="K21" s="29"/>
      <c r="Z21" s="24"/>
    </row>
    <row r="22" spans="2:26" ht="21.6">
      <c r="B22" s="24"/>
      <c r="D22" s="25" t="s">
        <v>7</v>
      </c>
      <c r="R22" s="25" t="str">
        <f>IF(OR(M33="TAK",M24="nie"),"Wynik oceny:","")</f>
        <v/>
      </c>
      <c r="Z22" s="24"/>
    </row>
    <row r="23" spans="2:26" ht="21.6">
      <c r="B23" s="24"/>
      <c r="N23" s="25"/>
      <c r="Z23" s="24"/>
    </row>
    <row r="24" spans="2:26" ht="15" customHeight="1">
      <c r="B24" s="24"/>
      <c r="D24" s="375" t="s">
        <v>239</v>
      </c>
      <c r="E24" s="375"/>
      <c r="F24" s="375"/>
      <c r="G24" s="375"/>
      <c r="H24" s="375"/>
      <c r="I24" s="375"/>
      <c r="J24" s="375"/>
      <c r="K24" s="375"/>
      <c r="L24" s="375"/>
      <c r="M24" s="381" t="str">
        <f>IF(AND(M10&lt;&gt;"", M19&lt;&gt;""),IF(M19&gt;M10*2,"NIE","TAK"),"")</f>
        <v/>
      </c>
      <c r="N24" s="381"/>
      <c r="O24" s="32"/>
      <c r="P24" s="32"/>
      <c r="Q24" s="387" t="str">
        <f>IF(M24="NIE","🚩 UWAGA, zwiększ moc instalacji fotowoltaicznej lub zmniejsz pojemność magazynu energii"," ")</f>
        <v xml:space="preserve"> </v>
      </c>
      <c r="R24" s="387"/>
      <c r="S24" s="387"/>
      <c r="T24" s="387"/>
      <c r="U24" s="387"/>
      <c r="V24" s="387"/>
      <c r="W24" s="387"/>
      <c r="X24" s="387"/>
      <c r="Y24" s="32"/>
      <c r="Z24" s="24"/>
    </row>
    <row r="25" spans="2:26" ht="30" customHeight="1">
      <c r="B25" s="24"/>
      <c r="D25" s="375"/>
      <c r="E25" s="375"/>
      <c r="F25" s="375"/>
      <c r="G25" s="375"/>
      <c r="H25" s="375"/>
      <c r="I25" s="375"/>
      <c r="J25" s="375"/>
      <c r="K25" s="375"/>
      <c r="L25" s="375"/>
      <c r="M25" s="381"/>
      <c r="N25" s="381"/>
      <c r="O25" s="32"/>
      <c r="P25" s="32"/>
      <c r="Q25" s="387"/>
      <c r="R25" s="387"/>
      <c r="S25" s="387"/>
      <c r="T25" s="387"/>
      <c r="U25" s="387"/>
      <c r="V25" s="387"/>
      <c r="W25" s="387"/>
      <c r="X25" s="387"/>
      <c r="Y25" s="32"/>
      <c r="Z25" s="24"/>
    </row>
    <row r="26" spans="2:26">
      <c r="B26" s="24"/>
      <c r="Z26" s="24"/>
    </row>
    <row r="27" spans="2:26" ht="15" customHeight="1">
      <c r="B27" s="24"/>
      <c r="D27" s="375" t="s">
        <v>8</v>
      </c>
      <c r="E27" s="375"/>
      <c r="F27" s="375"/>
      <c r="G27" s="375"/>
      <c r="H27" s="375"/>
      <c r="I27" s="375"/>
      <c r="J27" s="375"/>
      <c r="K27" s="375"/>
      <c r="L27" s="375"/>
      <c r="M27" s="381" t="str">
        <f>IF(AND(M16&lt;&gt;"", M10&lt;&gt;""),IF(M16&gt;M10,"NIE","TAK"),"")</f>
        <v/>
      </c>
      <c r="N27" s="381"/>
      <c r="O27" s="32"/>
      <c r="P27" s="32"/>
      <c r="Q27" s="387" t="str">
        <f>IF(AND(M33="TAK",T33&gt;M7),"🚩 UWAGA, zwiększ moc przyłaczeniową lub zmniejsz moc magazynu energii"," ")</f>
        <v xml:space="preserve"> </v>
      </c>
      <c r="R27" s="387"/>
      <c r="S27" s="387"/>
      <c r="T27" s="387"/>
      <c r="U27" s="387"/>
      <c r="V27" s="387"/>
      <c r="W27" s="387"/>
      <c r="X27" s="387"/>
      <c r="Y27" s="32"/>
      <c r="Z27" s="24"/>
    </row>
    <row r="28" spans="2:26" ht="27.75" customHeight="1">
      <c r="B28" s="24"/>
      <c r="D28" s="375"/>
      <c r="E28" s="375"/>
      <c r="F28" s="375"/>
      <c r="G28" s="375"/>
      <c r="H28" s="375"/>
      <c r="I28" s="375"/>
      <c r="J28" s="375"/>
      <c r="K28" s="375"/>
      <c r="L28" s="375"/>
      <c r="M28" s="381"/>
      <c r="N28" s="381"/>
      <c r="O28" s="32"/>
      <c r="P28" s="32"/>
      <c r="Q28" s="387"/>
      <c r="R28" s="387"/>
      <c r="S28" s="387"/>
      <c r="T28" s="387"/>
      <c r="U28" s="387"/>
      <c r="V28" s="387"/>
      <c r="W28" s="387"/>
      <c r="X28" s="387"/>
      <c r="Y28" s="32"/>
      <c r="Z28" s="24"/>
    </row>
    <row r="29" spans="2:26" ht="15" customHeight="1">
      <c r="B29" s="24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4"/>
    </row>
    <row r="30" spans="2:26" ht="26.25" customHeight="1">
      <c r="B30" s="24"/>
      <c r="D30" s="375" t="s">
        <v>9</v>
      </c>
      <c r="E30" s="375"/>
      <c r="F30" s="375"/>
      <c r="G30" s="375"/>
      <c r="H30" s="375"/>
      <c r="I30" s="375"/>
      <c r="J30" s="375"/>
      <c r="K30" s="375"/>
      <c r="L30" s="375"/>
      <c r="M30" s="381" t="str">
        <f>IF(AND(M13&lt;&gt;"", M10&lt;&gt;""),IF(M13&gt;M10,"NIE","TAK"),"")</f>
        <v/>
      </c>
      <c r="N30" s="381"/>
      <c r="Z30" s="24"/>
    </row>
    <row r="31" spans="2:26" ht="18">
      <c r="B31" s="24"/>
      <c r="D31" s="375"/>
      <c r="E31" s="375"/>
      <c r="F31" s="375"/>
      <c r="G31" s="375"/>
      <c r="H31" s="375"/>
      <c r="I31" s="375"/>
      <c r="J31" s="375"/>
      <c r="K31" s="375"/>
      <c r="L31" s="375"/>
      <c r="M31" s="381"/>
      <c r="N31" s="381"/>
      <c r="O31" s="33"/>
      <c r="P31" s="33"/>
      <c r="Q31" s="27" t="s">
        <v>10</v>
      </c>
      <c r="R31" s="27"/>
      <c r="S31" s="27"/>
      <c r="T31" s="27"/>
      <c r="U31" s="27"/>
      <c r="V31" s="27"/>
      <c r="W31" s="27"/>
      <c r="X31" s="27"/>
      <c r="Z31" s="24"/>
    </row>
    <row r="32" spans="2:26" ht="15" thickBot="1">
      <c r="B32" s="24"/>
      <c r="Z32" s="24"/>
    </row>
    <row r="33" spans="2:26" ht="15" customHeight="1">
      <c r="B33" s="24"/>
      <c r="D33" s="375" t="s">
        <v>240</v>
      </c>
      <c r="E33" s="375"/>
      <c r="F33" s="375"/>
      <c r="G33" s="375"/>
      <c r="H33" s="375"/>
      <c r="I33" s="375"/>
      <c r="J33" s="375"/>
      <c r="K33" s="375"/>
      <c r="L33" s="375"/>
      <c r="M33" s="381" t="str">
        <f>IF(AND(M27&lt;&gt;"",M30&lt;&gt;""),IF(AND(M27="TAK",M30="TAK"),"NIE","TAK"),"")</f>
        <v/>
      </c>
      <c r="N33" s="381"/>
      <c r="T33" s="388" t="str">
        <f>IF(M33="TAK",M16+M10,M10)</f>
        <v/>
      </c>
      <c r="U33" s="389"/>
      <c r="Z33" s="24"/>
    </row>
    <row r="34" spans="2:26" ht="16.05" customHeight="1" thickBot="1">
      <c r="B34" s="24"/>
      <c r="D34" s="375"/>
      <c r="E34" s="375"/>
      <c r="F34" s="375"/>
      <c r="G34" s="375"/>
      <c r="H34" s="375"/>
      <c r="I34" s="375"/>
      <c r="J34" s="375"/>
      <c r="K34" s="375"/>
      <c r="L34" s="375"/>
      <c r="M34" s="381"/>
      <c r="N34" s="381"/>
      <c r="T34" s="390"/>
      <c r="U34" s="391"/>
      <c r="Z34" s="24"/>
    </row>
    <row r="35" spans="2:26" ht="15.6">
      <c r="B35" s="24"/>
      <c r="D35" s="26"/>
      <c r="E35" s="26"/>
      <c r="F35" s="26"/>
      <c r="G35" s="26"/>
      <c r="I35" s="21"/>
      <c r="J35" s="21"/>
      <c r="Z35" s="24"/>
    </row>
    <row r="36" spans="2:26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</sheetData>
  <sheetProtection sheet="1" objects="1" scenarios="1"/>
  <mergeCells count="27">
    <mergeCell ref="T33:U34"/>
    <mergeCell ref="M7:N8"/>
    <mergeCell ref="O7:O8"/>
    <mergeCell ref="M10:N11"/>
    <mergeCell ref="M19:N20"/>
    <mergeCell ref="O19:O20"/>
    <mergeCell ref="O10:O11"/>
    <mergeCell ref="O16:O17"/>
    <mergeCell ref="M30:N31"/>
    <mergeCell ref="M33:N34"/>
    <mergeCell ref="M24:N25"/>
    <mergeCell ref="D30:L31"/>
    <mergeCell ref="D33:L34"/>
    <mergeCell ref="Q7:X8"/>
    <mergeCell ref="F7:L8"/>
    <mergeCell ref="F10:L11"/>
    <mergeCell ref="F13:L14"/>
    <mergeCell ref="M27:N28"/>
    <mergeCell ref="M13:N14"/>
    <mergeCell ref="O13:O14"/>
    <mergeCell ref="M16:N17"/>
    <mergeCell ref="Q27:X28"/>
    <mergeCell ref="F16:L17"/>
    <mergeCell ref="F19:L20"/>
    <mergeCell ref="Q24:X25"/>
    <mergeCell ref="D24:L25"/>
    <mergeCell ref="D27:L28"/>
  </mergeCells>
  <conditionalFormatting sqref="M19:N20">
    <cfRule type="containsText" dxfId="11" priority="1" operator="containsText" text="✖">
      <formula>NOT(ISERROR(SEARCH("✖",M19)))</formula>
    </cfRule>
  </conditionalFormatting>
  <conditionalFormatting sqref="M24:N25">
    <cfRule type="containsText" dxfId="10" priority="4" operator="containsText" text="TAK">
      <formula>NOT(ISERROR(SEARCH("TAK",M24)))</formula>
    </cfRule>
    <cfRule type="containsText" dxfId="9" priority="5" operator="containsText" text="NIE">
      <formula>NOT(ISERROR(SEARCH("NIE",M24)))</formula>
    </cfRule>
  </conditionalFormatting>
  <conditionalFormatting sqref="M27:N28">
    <cfRule type="containsText" dxfId="8" priority="10" operator="containsText" text="TAK">
      <formula>NOT(ISERROR(SEARCH("TAK",M27)))</formula>
    </cfRule>
    <cfRule type="containsText" dxfId="7" priority="11" operator="containsText" text="NIE">
      <formula>NOT(ISERROR(SEARCH("NIE",M27)))</formula>
    </cfRule>
  </conditionalFormatting>
  <conditionalFormatting sqref="M30:N31">
    <cfRule type="containsText" dxfId="6" priority="8" operator="containsText" text="TAK">
      <formula>NOT(ISERROR(SEARCH("TAK",M30)))</formula>
    </cfRule>
    <cfRule type="containsText" dxfId="5" priority="9" operator="containsText" text="NIE">
      <formula>NOT(ISERROR(SEARCH("NIE",M30)))</formula>
    </cfRule>
  </conditionalFormatting>
  <conditionalFormatting sqref="M33:N34">
    <cfRule type="containsText" dxfId="4" priority="6" operator="containsText" text="TAK">
      <formula>NOT(ISERROR(SEARCH("TAK",M33)))</formula>
    </cfRule>
    <cfRule type="containsText" dxfId="3" priority="7" operator="containsText" text="NIE">
      <formula>NOT(ISERROR(SEARCH("NIE",M33)))</formula>
    </cfRule>
  </conditionalFormatting>
  <conditionalFormatting sqref="M16:O16 Y16:Y17 M17:N17">
    <cfRule type="containsText" dxfId="2" priority="2" operator="containsText" text="✖">
      <formula>NOT(ISERROR(SEARCH("✖",M16)))</formula>
    </cfRule>
  </conditionalFormatting>
  <conditionalFormatting sqref="O7:O8">
    <cfRule type="iconSet" priority="15">
      <iconSet iconSet="3Symbols">
        <cfvo type="percent" val="0"/>
        <cfvo type="percent" val="33"/>
        <cfvo type="num" val="$Y$16=1"/>
      </iconSet>
    </cfRule>
  </conditionalFormatting>
  <conditionalFormatting sqref="O10">
    <cfRule type="containsText" dxfId="1" priority="3" operator="containsText" text="✖">
      <formula>NOT(ISERROR(SEARCH("✖",O10)))</formula>
    </cfRule>
    <cfRule type="iconSet" priority="12">
      <iconSet iconSet="3Symbols">
        <cfvo type="percent" val="0"/>
        <cfvo type="percent" val="33"/>
        <cfvo type="num" val="$Y$16=1"/>
      </iconSet>
    </cfRule>
  </conditionalFormatting>
  <conditionalFormatting sqref="O13:O14">
    <cfRule type="iconSet" priority="14">
      <iconSet iconSet="3Symbols">
        <cfvo type="percent" val="0"/>
        <cfvo type="percent" val="33"/>
        <cfvo type="num" val="$Y$16=1"/>
      </iconSet>
    </cfRule>
  </conditionalFormatting>
  <conditionalFormatting sqref="O16">
    <cfRule type="iconSet" priority="13">
      <iconSet iconSet="3Symbols">
        <cfvo type="percent" val="0"/>
        <cfvo type="percent" val="33"/>
        <cfvo type="num" val="$Y$16=1"/>
      </iconSet>
    </cfRule>
  </conditionalFormatting>
  <conditionalFormatting sqref="O19:O20 K21">
    <cfRule type="iconSet" priority="16">
      <iconSet iconSet="3Symbols">
        <cfvo type="percent" val="0"/>
        <cfvo type="percent" val="33"/>
        <cfvo type="num" val="$Y$16=1"/>
      </iconSet>
    </cfRule>
  </conditionalFormatting>
  <dataValidations count="3">
    <dataValidation type="decimal" operator="greaterThan" allowBlank="1" showInputMessage="1" showErrorMessage="1" error="Należy wpisać tylko liczbę. " sqref="I21:J21" xr:uid="{2C40F2FE-EF65-4EFD-A94F-93A73E00744A}">
      <formula1>0</formula1>
    </dataValidation>
    <dataValidation type="decimal" operator="greaterThan" allowBlank="1" showInputMessage="1" showErrorMessage="1" error="Należy wpisać tylko liczbę." sqref="I15:J15" xr:uid="{8B4E8E45-52E8-4D7F-B32B-28ACCFD84A14}">
      <formula1>0</formula1>
    </dataValidation>
    <dataValidation operator="greaterThan" allowBlank="1" showInputMessage="1" showErrorMessage="1" sqref="M13:N14 M10:N11" xr:uid="{ED1A6C65-76C7-4E5B-9DBF-26FC7A3406FD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07ED-E411-4464-A22D-623F8F37D867}">
  <sheetPr codeName="Arkusz3">
    <tabColor theme="6" tint="-0.249977111117893"/>
  </sheetPr>
  <dimension ref="A1:H31"/>
  <sheetViews>
    <sheetView showGridLines="0" zoomScale="90" zoomScaleNormal="90" workbookViewId="0">
      <selection activeCell="H16" sqref="H16"/>
    </sheetView>
  </sheetViews>
  <sheetFormatPr defaultRowHeight="14.4"/>
  <cols>
    <col min="1" max="1" width="29.21875" customWidth="1"/>
    <col min="5" max="5" width="14.21875" customWidth="1"/>
    <col min="6" max="6" width="16.21875" customWidth="1"/>
    <col min="7" max="7" width="24.44140625" customWidth="1"/>
    <col min="8" max="8" width="37.21875" customWidth="1"/>
  </cols>
  <sheetData>
    <row r="1" spans="1:8" ht="27.6" customHeight="1">
      <c r="A1" s="396" t="s">
        <v>53</v>
      </c>
      <c r="B1" s="396"/>
      <c r="C1" s="396"/>
      <c r="D1" s="396"/>
      <c r="E1" s="396"/>
      <c r="F1" s="396"/>
      <c r="G1" s="60"/>
      <c r="H1" s="61"/>
    </row>
    <row r="2" spans="1:8" ht="15.6" customHeight="1">
      <c r="A2" s="396" t="s">
        <v>404</v>
      </c>
      <c r="B2" s="396"/>
      <c r="C2" s="396"/>
      <c r="D2" s="396"/>
      <c r="E2" s="394" t="str">
        <f>IF(ISBLANK(Formularz!E26),"Uzupełnij pole w formularzu",IF(Formularz!E26="☒ TAK","TAK","NIE"))</f>
        <v>Uzupełnij pole w formularzu</v>
      </c>
      <c r="F2" s="394"/>
      <c r="G2" s="68"/>
      <c r="H2" s="61"/>
    </row>
    <row r="3" spans="1:8">
      <c r="A3" s="396"/>
      <c r="B3" s="396"/>
      <c r="C3" s="396"/>
      <c r="D3" s="396"/>
      <c r="E3" s="394"/>
      <c r="F3" s="394"/>
      <c r="G3" s="68"/>
      <c r="H3" s="61"/>
    </row>
    <row r="4" spans="1:8" ht="15" customHeight="1">
      <c r="A4" s="396" t="s">
        <v>54</v>
      </c>
      <c r="B4" s="396"/>
      <c r="C4" s="396"/>
      <c r="D4" s="396"/>
      <c r="E4" s="394" t="str">
        <f>IF('Redukcja emisji'!C32&gt;0,"TAK","NIE")</f>
        <v>NIE</v>
      </c>
      <c r="F4" s="394"/>
      <c r="G4" s="68"/>
      <c r="H4" s="61"/>
    </row>
    <row r="5" spans="1:8" ht="15" customHeight="1">
      <c r="A5" s="396"/>
      <c r="B5" s="396"/>
      <c r="C5" s="396"/>
      <c r="D5" s="396"/>
      <c r="E5" s="394"/>
      <c r="F5" s="394"/>
      <c r="G5" s="68"/>
      <c r="H5" s="61"/>
    </row>
    <row r="6" spans="1:8" ht="27.6" customHeight="1">
      <c r="A6" s="396" t="s">
        <v>55</v>
      </c>
      <c r="B6" s="396"/>
      <c r="C6" s="396"/>
      <c r="D6" s="396"/>
      <c r="E6" s="394" t="str">
        <f>IF(AND(ISBLANK(Formularz!E26),ISBLANK(Formularz!E28)),"Uzupełnij pole w formularzu",IF(OR(Formularz!E26="☒ TAK",Formularz!E28="☒ TAK"),"TAK","NIE"))</f>
        <v>Uzupełnij pole w formularzu</v>
      </c>
      <c r="F6" s="394"/>
      <c r="G6" s="68"/>
      <c r="H6" s="61"/>
    </row>
    <row r="7" spans="1:8" ht="15" customHeight="1">
      <c r="A7" s="396"/>
      <c r="B7" s="396"/>
      <c r="C7" s="396"/>
      <c r="D7" s="396"/>
      <c r="E7" s="394"/>
      <c r="F7" s="394"/>
      <c r="G7" s="68"/>
      <c r="H7" s="61"/>
    </row>
    <row r="8" spans="1:8" ht="14.55" customHeight="1">
      <c r="A8" s="393" t="s">
        <v>56</v>
      </c>
      <c r="B8" s="393"/>
      <c r="C8" s="393"/>
      <c r="D8" s="393"/>
      <c r="E8" s="395" t="str">
        <f>IF(Formularz!E26="☒ TAK",IF(ISBLANK(Formularz!E97),"Uzupełnij pole w formularzu",Formularz!E97/1000),"Nie dotyczy")</f>
        <v>Nie dotyczy</v>
      </c>
      <c r="F8" s="395"/>
      <c r="G8" s="60"/>
      <c r="H8" s="61"/>
    </row>
    <row r="9" spans="1:8" ht="15" customHeight="1">
      <c r="A9" s="393"/>
      <c r="B9" s="393"/>
      <c r="C9" s="393"/>
      <c r="D9" s="393"/>
      <c r="E9" s="395"/>
      <c r="F9" s="395"/>
      <c r="G9" s="60"/>
      <c r="H9" s="61"/>
    </row>
    <row r="10" spans="1:8" ht="14.55" customHeight="1">
      <c r="A10" s="397" t="s">
        <v>57</v>
      </c>
      <c r="B10" s="398"/>
      <c r="C10" s="398"/>
      <c r="D10" s="399"/>
      <c r="E10" s="395" t="str">
        <f>IF(Formularz!E28="☒ TAK",IF(ISBLANK(Formularz!E136),"Uzupełnij pole w formularzu",Formularz!E136/1000),"Nie dotyczy")</f>
        <v>Nie dotyczy</v>
      </c>
      <c r="F10" s="395"/>
      <c r="G10" s="60"/>
      <c r="H10" s="61"/>
    </row>
    <row r="11" spans="1:8" ht="15" customHeight="1">
      <c r="A11" s="400"/>
      <c r="B11" s="401"/>
      <c r="C11" s="401"/>
      <c r="D11" s="402"/>
      <c r="E11" s="395"/>
      <c r="F11" s="395"/>
      <c r="G11" s="60"/>
      <c r="H11" s="61"/>
    </row>
    <row r="12" spans="1:8" ht="14.55" customHeight="1">
      <c r="A12" s="393" t="s">
        <v>58</v>
      </c>
      <c r="B12" s="393"/>
      <c r="C12" s="393"/>
      <c r="D12" s="393"/>
      <c r="E12" s="395" t="str">
        <f>IF(Formularz!E26="☒ TAK",IF(ISBLANK(Formularz!E103),"Uzupełnij pole w formularzu",Formularz!E103),"Nie dotyczy")</f>
        <v>Nie dotyczy</v>
      </c>
      <c r="F12" s="395"/>
      <c r="G12" s="60"/>
      <c r="H12" s="61"/>
    </row>
    <row r="13" spans="1:8" ht="15" customHeight="1">
      <c r="A13" s="393"/>
      <c r="B13" s="393"/>
      <c r="C13" s="393"/>
      <c r="D13" s="393"/>
      <c r="E13" s="395"/>
      <c r="F13" s="395"/>
      <c r="G13" s="60"/>
      <c r="H13" s="61"/>
    </row>
    <row r="14" spans="1:8" ht="14.55" customHeight="1">
      <c r="A14" s="393" t="s">
        <v>59</v>
      </c>
      <c r="B14" s="393"/>
      <c r="C14" s="393"/>
      <c r="D14" s="393"/>
      <c r="E14" s="395" t="str">
        <f>IF(Formularz!E28="☒ TAK",IF(ISBLANK(Formularz!E139),"Uzupełnij pole w formularzu",Formularz!E139),"Nie dotyczy")</f>
        <v>Nie dotyczy</v>
      </c>
      <c r="F14" s="395"/>
      <c r="G14" s="60"/>
      <c r="H14" s="61"/>
    </row>
    <row r="15" spans="1:8" ht="15" customHeight="1">
      <c r="A15" s="393"/>
      <c r="B15" s="393"/>
      <c r="C15" s="393"/>
      <c r="D15" s="393"/>
      <c r="E15" s="395"/>
      <c r="F15" s="395"/>
      <c r="G15" s="60"/>
      <c r="H15" s="61"/>
    </row>
    <row r="16" spans="1:8" ht="14.55" customHeight="1">
      <c r="A16" s="393" t="s">
        <v>60</v>
      </c>
      <c r="B16" s="393"/>
      <c r="C16" s="393"/>
      <c r="D16" s="393"/>
      <c r="E16" s="395">
        <f>IFERROR(IF(E8="Nie dotyczy",0,E8)+IF(E10="Nie dotyczy",0,E10),0)</f>
        <v>0</v>
      </c>
      <c r="F16" s="395"/>
      <c r="G16" s="60"/>
      <c r="H16" s="61"/>
    </row>
    <row r="17" spans="1:8" ht="42" customHeight="1">
      <c r="A17" s="393"/>
      <c r="B17" s="393"/>
      <c r="C17" s="393"/>
      <c r="D17" s="393"/>
      <c r="E17" s="395"/>
      <c r="F17" s="395"/>
      <c r="G17" s="62"/>
      <c r="H17" s="61"/>
    </row>
    <row r="18" spans="1:8">
      <c r="A18" s="393" t="s">
        <v>246</v>
      </c>
      <c r="B18" s="393"/>
      <c r="C18" s="393"/>
      <c r="D18" s="393"/>
      <c r="E18" s="395" t="str">
        <f>IF(Formularz!E27="☒ TAK",IF(ISBLANK(Formularz!E118),"Uzupełnij pole w formularzu",Formularz!E118/1000),"Nie dotyczy")</f>
        <v>Nie dotyczy</v>
      </c>
      <c r="F18" s="395"/>
      <c r="G18" s="62"/>
      <c r="H18" s="61"/>
    </row>
    <row r="19" spans="1:8" ht="42" customHeight="1">
      <c r="A19" s="393"/>
      <c r="B19" s="393"/>
      <c r="C19" s="393"/>
      <c r="D19" s="393"/>
      <c r="E19" s="395"/>
      <c r="F19" s="395"/>
      <c r="G19" s="62"/>
      <c r="H19" s="61"/>
    </row>
    <row r="20" spans="1:8" ht="15" customHeight="1">
      <c r="A20" s="393" t="s">
        <v>248</v>
      </c>
      <c r="B20" s="393"/>
      <c r="C20" s="393"/>
      <c r="D20" s="393"/>
      <c r="E20" s="394" t="str">
        <f>IF(Formularz!E26="☒ TAK",IF(ISBLANK(Formularz!E112),"Uzupełnij pole w formularzu",Formularz!E112),"Nie dotyczy")</f>
        <v>Nie dotyczy</v>
      </c>
      <c r="F20" s="394"/>
    </row>
    <row r="21" spans="1:8" ht="15" customHeight="1">
      <c r="A21" s="393" t="s">
        <v>247</v>
      </c>
      <c r="B21" s="393"/>
      <c r="C21" s="393"/>
      <c r="D21" s="393"/>
      <c r="E21" s="394"/>
      <c r="F21" s="394"/>
    </row>
    <row r="22" spans="1:8">
      <c r="A22" s="393" t="s">
        <v>249</v>
      </c>
      <c r="B22" s="393"/>
      <c r="C22" s="393"/>
      <c r="D22" s="393"/>
      <c r="E22" s="394" t="str">
        <f>IF(Formularz!E26="☒ TAK",IF(ISBLANK(Formularz!E114),"Uzupełnij pole w formularzu",Formularz!E114),"Nie dotyczy")</f>
        <v>Nie dotyczy</v>
      </c>
      <c r="F22" s="394"/>
    </row>
    <row r="23" spans="1:8">
      <c r="A23" s="393" t="s">
        <v>247</v>
      </c>
      <c r="B23" s="393"/>
      <c r="C23" s="393"/>
      <c r="D23" s="393"/>
      <c r="E23" s="394"/>
      <c r="F23" s="394"/>
    </row>
    <row r="24" spans="1:8">
      <c r="A24" s="393" t="s">
        <v>250</v>
      </c>
      <c r="B24" s="393"/>
      <c r="C24" s="393"/>
      <c r="D24" s="393"/>
      <c r="E24" s="394" t="str">
        <f>IF(Formularz!E28="☒ TAK",IF(ISBLANK(Formularz!E155),"Uzupełnij pole w formularzu",Formularz!E155),"Nie dotyczy")</f>
        <v>Nie dotyczy</v>
      </c>
      <c r="F24" s="394"/>
    </row>
    <row r="25" spans="1:8">
      <c r="A25" s="393" t="s">
        <v>247</v>
      </c>
      <c r="B25" s="393"/>
      <c r="C25" s="393"/>
      <c r="D25" s="393"/>
      <c r="E25" s="394"/>
      <c r="F25" s="394"/>
    </row>
    <row r="26" spans="1:8">
      <c r="A26" s="393" t="s">
        <v>251</v>
      </c>
      <c r="B26" s="393"/>
      <c r="C26" s="393"/>
      <c r="D26" s="393"/>
      <c r="E26" s="394" t="str">
        <f>IF(Formularz!E28="☒ TAK",IF(ISBLANK(Formularz!E157),"Uzupełnij pole w formularzu",Formularz!E157),"Nie dotyczy")</f>
        <v>Nie dotyczy</v>
      </c>
      <c r="F26" s="394"/>
    </row>
    <row r="27" spans="1:8">
      <c r="A27" s="393" t="s">
        <v>247</v>
      </c>
      <c r="B27" s="393"/>
      <c r="C27" s="393"/>
      <c r="D27" s="393"/>
      <c r="E27" s="394"/>
      <c r="F27" s="394"/>
    </row>
    <row r="28" spans="1:8">
      <c r="A28" s="393" t="s">
        <v>253</v>
      </c>
      <c r="B28" s="393"/>
      <c r="C28" s="393"/>
      <c r="D28" s="393"/>
      <c r="E28" s="394" t="str">
        <f>IF(Formularz!E27="☒ TAK",IF(ISBLANK(Formularz!E125),"Uzupełnij pole w formularzu",Formularz!E125),"Nie dotyczy")</f>
        <v>Nie dotyczy</v>
      </c>
      <c r="F28" s="394"/>
    </row>
    <row r="29" spans="1:8">
      <c r="A29" s="393"/>
      <c r="B29" s="393"/>
      <c r="C29" s="393"/>
      <c r="D29" s="393"/>
      <c r="E29" s="394" t="str">
        <f t="shared" ref="E29" si="0">UPPER(A29)</f>
        <v/>
      </c>
      <c r="F29" s="394"/>
    </row>
    <row r="30" spans="1:8">
      <c r="A30" s="393" t="s">
        <v>252</v>
      </c>
      <c r="B30" s="393"/>
      <c r="C30" s="393"/>
      <c r="D30" s="393"/>
      <c r="E30" s="394" t="str">
        <f>IF(Formularz!E28="☒ TAK",IF(ISBLANK(Formularz!E153),"Uzupełnij pole w formularzu",Formularz!E153),"Nie dotyczy")</f>
        <v>Nie dotyczy</v>
      </c>
      <c r="F30" s="394"/>
    </row>
    <row r="31" spans="1:8">
      <c r="A31" s="393" t="s">
        <v>247</v>
      </c>
      <c r="B31" s="393"/>
      <c r="C31" s="393"/>
      <c r="D31" s="393"/>
      <c r="E31" s="394"/>
      <c r="F31" s="394"/>
    </row>
  </sheetData>
  <sheetProtection sheet="1" objects="1" scenarios="1"/>
  <mergeCells count="31">
    <mergeCell ref="A1:F1"/>
    <mergeCell ref="A2:D3"/>
    <mergeCell ref="E2:F3"/>
    <mergeCell ref="A4:D5"/>
    <mergeCell ref="E4:F5"/>
    <mergeCell ref="A18:D19"/>
    <mergeCell ref="E18:F19"/>
    <mergeCell ref="A20:D21"/>
    <mergeCell ref="A22:D23"/>
    <mergeCell ref="E6:F7"/>
    <mergeCell ref="A6:D7"/>
    <mergeCell ref="E8:F9"/>
    <mergeCell ref="A8:D9"/>
    <mergeCell ref="A10:D11"/>
    <mergeCell ref="E14:F15"/>
    <mergeCell ref="A14:D15"/>
    <mergeCell ref="A16:D17"/>
    <mergeCell ref="E16:F17"/>
    <mergeCell ref="E10:F11"/>
    <mergeCell ref="E12:F13"/>
    <mergeCell ref="A12:D13"/>
    <mergeCell ref="A24:D25"/>
    <mergeCell ref="A26:D27"/>
    <mergeCell ref="A30:D31"/>
    <mergeCell ref="A28:D29"/>
    <mergeCell ref="E20:F21"/>
    <mergeCell ref="E22:F23"/>
    <mergeCell ref="E24:F25"/>
    <mergeCell ref="E26:F27"/>
    <mergeCell ref="E30:F31"/>
    <mergeCell ref="E28:F29"/>
  </mergeCells>
  <dataValidations count="2">
    <dataValidation operator="greaterThanOrEqual" allowBlank="1" showInputMessage="1" showErrorMessage="1" error="Należy wprowadzić tylko wartość" sqref="E16:F19" xr:uid="{2E4754D5-1168-4937-B8D5-E00D014E7C4E}"/>
    <dataValidation operator="greaterThanOrEqual" allowBlank="1" showInputMessage="1" showErrorMessage="1" sqref="E8:F15" xr:uid="{10249AE9-4F20-4E87-BD86-1939B33B55F5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A1F4-C9CA-41B4-A857-60AF338A96E9}">
  <sheetPr>
    <tabColor theme="6" tint="-0.249977111117893"/>
  </sheetPr>
  <dimension ref="B1:E27"/>
  <sheetViews>
    <sheetView showGridLines="0" zoomScaleNormal="100" workbookViewId="0">
      <selection activeCell="E34" sqref="E34"/>
    </sheetView>
  </sheetViews>
  <sheetFormatPr defaultRowHeight="14.4"/>
  <cols>
    <col min="1" max="1" width="4.21875" customWidth="1"/>
    <col min="2" max="2" width="41.21875" customWidth="1"/>
    <col min="3" max="3" width="15.5546875" customWidth="1"/>
    <col min="4" max="4" width="16" customWidth="1"/>
    <col min="5" max="5" width="24.5546875" bestFit="1" customWidth="1"/>
    <col min="6" max="6" width="20.77734375" customWidth="1"/>
    <col min="7" max="7" width="23.44140625" customWidth="1"/>
    <col min="8" max="8" width="14.44140625" customWidth="1"/>
    <col min="9" max="9" width="17.21875" customWidth="1"/>
    <col min="10" max="10" width="15" customWidth="1"/>
    <col min="11" max="11" width="16.21875" customWidth="1"/>
  </cols>
  <sheetData>
    <row r="1" spans="2:5" ht="15" thickBot="1"/>
    <row r="2" spans="2:5">
      <c r="B2" s="403" t="s">
        <v>61</v>
      </c>
      <c r="C2" s="404"/>
      <c r="D2" s="405"/>
    </row>
    <row r="3" spans="2:5" ht="15" thickBot="1">
      <c r="B3" s="406"/>
      <c r="C3" s="407"/>
      <c r="D3" s="408"/>
    </row>
    <row r="4" spans="2:5">
      <c r="B4" s="409" t="s">
        <v>62</v>
      </c>
      <c r="C4" s="409" t="s">
        <v>63</v>
      </c>
      <c r="D4" s="409" t="s">
        <v>64</v>
      </c>
    </row>
    <row r="5" spans="2:5">
      <c r="B5" s="410"/>
      <c r="C5" s="410"/>
      <c r="D5" s="410"/>
    </row>
    <row r="6" spans="2:5" ht="15" thickBot="1">
      <c r="B6" s="411"/>
      <c r="C6" s="411"/>
      <c r="D6" s="411"/>
    </row>
    <row r="7" spans="2:5" ht="15" customHeight="1">
      <c r="B7" s="412" t="str">
        <f>IF(Formularz!E26="☒ TAK",IF(AND(ISBLANK(Formularz!E116),ISBLANK(Formularz!E97)),"Uzupełnij pola w formularzu",IFERROR(Formularz!E116/Formularz!E97,0)),"Nie dotyczy")</f>
        <v>Nie dotyczy</v>
      </c>
      <c r="C7" s="415" t="str" cm="1">
        <f t="array" ref="C7">_xlfn.IFNA(INDEX('Stawki referencyjne'!C:C,MATCH(1,(Formularz!E97&gt;IF('Stawki referencyjne'!A:A="",0,'Stawki referencyjne'!A:A))*(Formularz!E97&lt;=IF('Stawki referencyjne'!B:B="",100000000000,'Stawki referencyjne'!B:B)),0)),"")</f>
        <v/>
      </c>
      <c r="D7" s="418" t="str">
        <f>IFERROR(B7/C7,"")</f>
        <v/>
      </c>
    </row>
    <row r="8" spans="2:5" ht="16.05" customHeight="1">
      <c r="B8" s="413"/>
      <c r="C8" s="416"/>
      <c r="D8" s="419"/>
      <c r="E8" s="60" t="str">
        <f>IF(AND(D7&lt;&gt;"",B7&lt;&gt;""),IF(D7&gt;1.5,"🚩 UWAGA, cena wysoka w stosunku do rynku. Zweryfikuj stawkę"," "),"")</f>
        <v/>
      </c>
    </row>
    <row r="9" spans="2:5" ht="15" thickBot="1">
      <c r="B9" s="414"/>
      <c r="C9" s="417"/>
      <c r="D9" s="420"/>
      <c r="E9" s="60" t="str">
        <f>IF(AND(D7&lt;&gt;"",B7&lt;&gt;""),IF(D7&lt;0.2,"🚩 UWAGA, cena zbyt niska w stosunku do rynku. Zweryfikuj stawkę lub wprowadzone dane"," "),"")</f>
        <v/>
      </c>
    </row>
    <row r="10" spans="2:5" ht="15" thickBot="1"/>
    <row r="11" spans="2:5">
      <c r="B11" s="403" t="s">
        <v>65</v>
      </c>
      <c r="C11" s="404"/>
      <c r="D11" s="405"/>
    </row>
    <row r="12" spans="2:5" ht="15" thickBot="1">
      <c r="B12" s="406"/>
      <c r="C12" s="407"/>
      <c r="D12" s="408"/>
    </row>
    <row r="13" spans="2:5">
      <c r="B13" s="409" t="s">
        <v>399</v>
      </c>
      <c r="C13" s="409" t="s">
        <v>402</v>
      </c>
      <c r="D13" s="409" t="s">
        <v>64</v>
      </c>
    </row>
    <row r="14" spans="2:5">
      <c r="B14" s="410"/>
      <c r="C14" s="410"/>
      <c r="D14" s="410"/>
    </row>
    <row r="15" spans="2:5" ht="15" thickBot="1">
      <c r="B15" s="411"/>
      <c r="C15" s="411"/>
      <c r="D15" s="411"/>
    </row>
    <row r="16" spans="2:5">
      <c r="B16" s="412" t="str">
        <f>IF(Formularz!E28="☒ TAK",IF(Formularz!E133="Pompa ciepła",IF(AND(ISBLANK(Formularz!E159),ISBLANK(Formularz!E136)),"Uzupełnij pola w formularzu (jeśli dotyczy)",IFERROR(Formularz!E159 / Formularz!E136,0)),"Nie dotyczy"),"Nie dotyczy")</f>
        <v>Nie dotyczy</v>
      </c>
      <c r="C16" s="415" t="str" cm="1">
        <f t="array" ref="C16">_xlfn.IFNA(INDEX('Stawki referencyjne'!G:G,MATCH(1,(Formularz!E136&gt;IF('Stawki referencyjne'!E:E="",0,'Stawki referencyjne'!E:E))*(Formularz!E136&lt;=IF('Stawki referencyjne'!F:F="",100000000000,'Stawki referencyjne'!F:F)),0)),"")</f>
        <v/>
      </c>
      <c r="D16" s="418" t="str">
        <f>IFERROR(B16/C16,"")</f>
        <v/>
      </c>
    </row>
    <row r="17" spans="2:5">
      <c r="B17" s="413"/>
      <c r="C17" s="416"/>
      <c r="D17" s="419"/>
      <c r="E17" s="60" t="str">
        <f>IF(AND(D16&lt;&gt;"",B16&lt;&gt;""),IF(D16&gt;1.5,"🚩 UWAGA, cena wysoka w stosunku do rynku. Zweryfikuj stawkę lub wprowadzone dane"," "),"")</f>
        <v/>
      </c>
    </row>
    <row r="18" spans="2:5" ht="15" thickBot="1">
      <c r="B18" s="414"/>
      <c r="C18" s="417"/>
      <c r="D18" s="420"/>
      <c r="E18" s="60" t="str">
        <f>IF(AND(D16&lt;&gt;"",B16&lt;&gt;""),IF(D16&lt;0.2,"🚩 UWAGA, cena zbyt niska w stosunku do rynku. Zweryfikuj stawkę lub wprowadzone dane"," "),"")</f>
        <v/>
      </c>
    </row>
    <row r="19" spans="2:5" ht="15" thickBot="1"/>
    <row r="20" spans="2:5">
      <c r="B20" s="403" t="s">
        <v>66</v>
      </c>
      <c r="C20" s="404"/>
      <c r="D20" s="405"/>
    </row>
    <row r="21" spans="2:5" ht="15" thickBot="1">
      <c r="B21" s="406"/>
      <c r="C21" s="407"/>
      <c r="D21" s="408"/>
    </row>
    <row r="22" spans="2:5">
      <c r="B22" s="409" t="s">
        <v>67</v>
      </c>
      <c r="C22" s="409" t="s">
        <v>68</v>
      </c>
      <c r="D22" s="409" t="s">
        <v>64</v>
      </c>
    </row>
    <row r="23" spans="2:5">
      <c r="B23" s="410"/>
      <c r="C23" s="410"/>
      <c r="D23" s="410"/>
    </row>
    <row r="24" spans="2:5" ht="15" thickBot="1">
      <c r="B24" s="411"/>
      <c r="C24" s="411"/>
      <c r="D24" s="411"/>
    </row>
    <row r="25" spans="2:5" ht="15" customHeight="1">
      <c r="B25" s="412" t="str">
        <f>IF(Formularz!E27="☒ TAK",IF(AND(ISBLANK(Formularz!E127),ISBLANK(Formularz!E118)),"Uzupełnij pola w formularzu",IFERROR(Formularz!E127 / Formularz!E118,0)),"Nie dotyczy")</f>
        <v>Nie dotyczy</v>
      </c>
      <c r="C25" s="415" t="str" cm="1">
        <f t="array" ref="C25">_xlfn.IFNA(INDEX('Stawki referencyjne'!K:K,MATCH(1,(Formularz!E118&gt;IF('Stawki referencyjne'!I:I="",0,'Stawki referencyjne'!I:I))*(Formularz!E118&lt;=IF('Stawki referencyjne'!J:J="",100000000000,'Stawki referencyjne'!J:J)),0)),"")</f>
        <v/>
      </c>
      <c r="D25" s="418" t="str">
        <f>IFERROR(B25/C25,"")</f>
        <v/>
      </c>
    </row>
    <row r="26" spans="2:5" ht="16.05" customHeight="1">
      <c r="B26" s="413"/>
      <c r="C26" s="416"/>
      <c r="D26" s="419"/>
      <c r="E26" s="60" t="str">
        <f>IF(AND(D25&lt;&gt;"",B25&lt;&gt;""),IF(D25&gt;1.5,"🚩 UWAGA, cena wysoka w stosunku do rynku. Zweryfikuj stawkę lub wprowadzone dane"," "),"")</f>
        <v/>
      </c>
    </row>
    <row r="27" spans="2:5" ht="15" thickBot="1">
      <c r="B27" s="414"/>
      <c r="C27" s="417"/>
      <c r="D27" s="420"/>
      <c r="E27" s="60" t="str">
        <f>IF(AND(D25&lt;&gt;"",B25&lt;&gt;""),IF(D25&lt;0.2,"🚩 UWAGA, cena zbyt niska w stosunku do rynku. Zweryfikuj stawkę lub wprowadzone dane"," "),"")</f>
        <v/>
      </c>
    </row>
  </sheetData>
  <sheetProtection sheet="1" objects="1" scenarios="1"/>
  <mergeCells count="21">
    <mergeCell ref="B11:D12"/>
    <mergeCell ref="B13:B15"/>
    <mergeCell ref="C13:C15"/>
    <mergeCell ref="D13:D15"/>
    <mergeCell ref="B25:B27"/>
    <mergeCell ref="C25:C27"/>
    <mergeCell ref="D25:D27"/>
    <mergeCell ref="B16:B18"/>
    <mergeCell ref="C16:C18"/>
    <mergeCell ref="D16:D18"/>
    <mergeCell ref="B20:D21"/>
    <mergeCell ref="B22:B24"/>
    <mergeCell ref="C22:C24"/>
    <mergeCell ref="D22:D24"/>
    <mergeCell ref="B2:D3"/>
    <mergeCell ref="B4:B6"/>
    <mergeCell ref="C4:C6"/>
    <mergeCell ref="D4:D6"/>
    <mergeCell ref="B7:B9"/>
    <mergeCell ref="C7:C9"/>
    <mergeCell ref="D7:D9"/>
  </mergeCells>
  <pageMargins left="0.7" right="0.7" top="0.75" bottom="0.75" header="0.3" footer="0.3"/>
  <pageSetup paperSize="9" scale="7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004EAFD9-B355-416A-A0E5-CBFF3D646F8A}">
            <xm:f>Formularz!#REF!</xm:f>
            <x14:dxf>
              <fill>
                <patternFill patternType="none">
                  <bgColor auto="1"/>
                </patternFill>
              </fill>
            </x14:dxf>
          </x14:cfRule>
          <xm:sqref>B7 B16 B25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FB7A-CA65-4D6C-9289-B6B903EF0A6F}">
  <sheetPr codeName="Arkusz4">
    <tabColor theme="6" tint="-0.249977111117893"/>
  </sheetPr>
  <dimension ref="A1:G38"/>
  <sheetViews>
    <sheetView showGridLines="0" zoomScale="90" zoomScaleNormal="90" workbookViewId="0">
      <selection activeCell="D44" sqref="D44"/>
    </sheetView>
  </sheetViews>
  <sheetFormatPr defaultRowHeight="14.4"/>
  <cols>
    <col min="1" max="1" width="13" customWidth="1"/>
    <col min="2" max="2" width="14.77734375" bestFit="1" customWidth="1"/>
    <col min="3" max="3" width="23.21875" customWidth="1"/>
    <col min="4" max="4" width="66.21875" customWidth="1"/>
    <col min="5" max="5" width="6.44140625" bestFit="1" customWidth="1"/>
    <col min="6" max="6" width="100.21875" customWidth="1"/>
    <col min="7" max="7" width="25.77734375" customWidth="1"/>
    <col min="8" max="23" width="6.44140625" bestFit="1" customWidth="1"/>
  </cols>
  <sheetData>
    <row r="1" spans="1:7" ht="28.8" customHeight="1" thickBot="1">
      <c r="A1" s="434" t="s">
        <v>69</v>
      </c>
      <c r="B1" s="435"/>
      <c r="C1" s="435"/>
      <c r="D1" s="436"/>
      <c r="E1" s="61"/>
      <c r="F1" s="429" t="s">
        <v>81</v>
      </c>
      <c r="G1" s="429"/>
    </row>
    <row r="2" spans="1:7" ht="27.6" customHeight="1">
      <c r="A2" s="437" t="s">
        <v>70</v>
      </c>
      <c r="B2" s="437"/>
      <c r="C2" s="6"/>
      <c r="D2" s="6"/>
      <c r="E2" s="60"/>
      <c r="F2" s="112" t="s">
        <v>299</v>
      </c>
      <c r="G2" s="111" t="s">
        <v>193</v>
      </c>
    </row>
    <row r="3" spans="1:7">
      <c r="A3" s="437"/>
      <c r="B3" s="437"/>
      <c r="C3" s="7" t="s">
        <v>214</v>
      </c>
      <c r="D3" s="7" t="s">
        <v>71</v>
      </c>
      <c r="E3" s="60"/>
      <c r="F3" s="82" t="s">
        <v>421</v>
      </c>
      <c r="G3" s="113">
        <f>Formularz!E54*1150</f>
        <v>0</v>
      </c>
    </row>
    <row r="4" spans="1:7" ht="15" thickBot="1">
      <c r="A4" s="438"/>
      <c r="B4" s="438"/>
      <c r="C4" s="8"/>
      <c r="D4" s="8"/>
      <c r="E4" s="60"/>
      <c r="F4" s="82" t="s">
        <v>422</v>
      </c>
      <c r="G4" s="113">
        <f>Formularz!E57*500</f>
        <v>0</v>
      </c>
    </row>
    <row r="5" spans="1:7">
      <c r="A5" s="4" t="s">
        <v>212</v>
      </c>
      <c r="B5" s="5" t="s">
        <v>213</v>
      </c>
      <c r="C5" s="64" t="str">
        <f>IF(ISBLANK(Formularz!E24),"Uzupełnij pole w formularzu",Formularz!E24)</f>
        <v>Uzupełnij pole w formularzu</v>
      </c>
      <c r="D5" s="3" t="s">
        <v>210</v>
      </c>
      <c r="E5" s="60"/>
      <c r="F5" s="82" t="s">
        <v>423</v>
      </c>
      <c r="G5" s="113">
        <f>Formularz!E86</f>
        <v>0</v>
      </c>
    </row>
    <row r="6" spans="1:7">
      <c r="A6" s="4" t="s">
        <v>72</v>
      </c>
      <c r="B6" s="5" t="s">
        <v>73</v>
      </c>
      <c r="C6" s="63" t="str">
        <f>IF(ISBLANK(Formularz!C9),"Uzupełnij pole w formularzu",Formularz!C9)</f>
        <v>Uzupełnij pole w formularzu</v>
      </c>
      <c r="D6" s="3" t="s">
        <v>74</v>
      </c>
      <c r="E6" s="60"/>
      <c r="F6" s="82" t="s">
        <v>424</v>
      </c>
      <c r="G6" s="113">
        <f>Formularz!E88</f>
        <v>0</v>
      </c>
    </row>
    <row r="7" spans="1:7">
      <c r="A7" s="4" t="s">
        <v>75</v>
      </c>
      <c r="B7" s="5" t="s">
        <v>76</v>
      </c>
      <c r="C7" s="71">
        <f>IF(ISBLANK('Harmonogram rzecz-finanso'!C20),"Uzupełnij pole w części 2",'Harmonogram rzecz-finanso'!C20)</f>
        <v>0</v>
      </c>
      <c r="D7" s="3" t="s">
        <v>284</v>
      </c>
      <c r="E7" s="62"/>
      <c r="F7" s="82" t="s">
        <v>425</v>
      </c>
      <c r="G7" s="113">
        <f>IFERROR(Formularz!E74*1150,0)</f>
        <v>0</v>
      </c>
    </row>
    <row r="8" spans="1:7">
      <c r="A8" s="4" t="s">
        <v>77</v>
      </c>
      <c r="B8" s="5" t="s">
        <v>76</v>
      </c>
      <c r="C8" s="71">
        <f>IF(ISBLANK('Harmonogram rzecz-finanso'!C21),"Uzupełnij pole w harmonogramie rzeczowo-finansowym",'Harmonogram rzecz-finanso'!C21)</f>
        <v>0</v>
      </c>
      <c r="D8" s="3" t="s">
        <v>285</v>
      </c>
      <c r="E8" s="62"/>
      <c r="F8" s="82" t="s">
        <v>426</v>
      </c>
      <c r="G8" s="113">
        <f>Formularz!E71*1150</f>
        <v>0</v>
      </c>
    </row>
    <row r="9" spans="1:7">
      <c r="A9" s="4" t="s">
        <v>78</v>
      </c>
      <c r="B9" s="5" t="s">
        <v>76</v>
      </c>
      <c r="C9" s="71">
        <f>IF(ISBLANK('Harmonogram rzecz-finanso'!C22),"Uzupełnij pole w harmonogramie rzeczowo-finansowym",'Harmonogram rzecz-finanso'!C22)</f>
        <v>0</v>
      </c>
      <c r="D9" s="3" t="s">
        <v>286</v>
      </c>
      <c r="E9" s="62"/>
    </row>
    <row r="10" spans="1:7" ht="21">
      <c r="A10" s="4" t="s">
        <v>300</v>
      </c>
      <c r="B10" s="5" t="s">
        <v>76</v>
      </c>
      <c r="C10" s="71">
        <f>IF(ISBLANK('Harmonogram rzecz-finanso'!D19),"Uzupełnij pole w harmonogramie rzeczowo-finansowym",'Harmonogram rzecz-finanso'!D19)</f>
        <v>0</v>
      </c>
      <c r="D10" s="3" t="s">
        <v>241</v>
      </c>
      <c r="E10" s="62"/>
      <c r="F10" s="429" t="s">
        <v>83</v>
      </c>
      <c r="G10" s="429"/>
    </row>
    <row r="11" spans="1:7">
      <c r="A11" s="4" t="s">
        <v>79</v>
      </c>
      <c r="B11" s="5" t="s">
        <v>80</v>
      </c>
      <c r="C11" s="71">
        <f>SUM(G3:G8)</f>
        <v>0</v>
      </c>
      <c r="D11" s="3" t="s">
        <v>81</v>
      </c>
      <c r="E11" s="62"/>
      <c r="F11" s="112" t="s">
        <v>299</v>
      </c>
      <c r="G11" s="111" t="s">
        <v>193</v>
      </c>
    </row>
    <row r="12" spans="1:7">
      <c r="A12" s="4" t="s">
        <v>82</v>
      </c>
      <c r="B12" s="5" t="s">
        <v>80</v>
      </c>
      <c r="C12" s="71">
        <f>SUM(G12:G18)-G19</f>
        <v>0</v>
      </c>
      <c r="D12" s="3" t="s">
        <v>83</v>
      </c>
      <c r="E12" s="62"/>
      <c r="F12" s="82" t="s">
        <v>421</v>
      </c>
      <c r="G12" s="113">
        <f>Formularz!E54*1150</f>
        <v>0</v>
      </c>
    </row>
    <row r="13" spans="1:7">
      <c r="A13" s="4" t="s">
        <v>84</v>
      </c>
      <c r="B13" s="5" t="s">
        <v>80</v>
      </c>
      <c r="C13" s="71">
        <f>G38</f>
        <v>0</v>
      </c>
      <c r="D13" s="3" t="s">
        <v>85</v>
      </c>
      <c r="E13" s="60"/>
      <c r="F13" s="82" t="s">
        <v>427</v>
      </c>
      <c r="G13" s="113">
        <f>Formularz!E151</f>
        <v>0</v>
      </c>
    </row>
    <row r="14" spans="1:7" ht="15" thickBot="1">
      <c r="A14" s="10" t="s">
        <v>86</v>
      </c>
      <c r="B14" s="66" t="s">
        <v>80</v>
      </c>
      <c r="C14" s="72">
        <f>IFERROR(IF(AND(C11&lt;&gt;"",C12&lt;&gt;"",C13&lt;&gt;""),C11-C12+C13,""),"")</f>
        <v>0</v>
      </c>
      <c r="D14" s="67" t="s">
        <v>87</v>
      </c>
      <c r="E14" s="60"/>
      <c r="F14" s="82" t="s">
        <v>428</v>
      </c>
      <c r="G14" s="113">
        <f>IFERROR(Formularz!E131 * Formularz!E86,0)</f>
        <v>0</v>
      </c>
    </row>
    <row r="15" spans="1:7" ht="15" thickBot="1">
      <c r="E15" s="60"/>
      <c r="F15" s="82" t="s">
        <v>429</v>
      </c>
      <c r="G15" s="113">
        <f>Formularz!E161</f>
        <v>0</v>
      </c>
    </row>
    <row r="16" spans="1:7" ht="15" thickBot="1">
      <c r="A16" s="430" t="s">
        <v>88</v>
      </c>
      <c r="B16" s="431"/>
      <c r="C16" s="431"/>
      <c r="D16" s="432"/>
      <c r="E16" s="60"/>
      <c r="F16" s="82" t="s">
        <v>425</v>
      </c>
      <c r="G16" s="113">
        <f>IFERROR(Formularz!E74*1150,0)</f>
        <v>0</v>
      </c>
    </row>
    <row r="17" spans="1:7" ht="27.6" customHeight="1">
      <c r="A17" s="409" t="s">
        <v>89</v>
      </c>
      <c r="B17" s="441" t="s">
        <v>90</v>
      </c>
      <c r="C17" s="439" t="str">
        <f>IFERROR(IF(AND(C9&lt;&gt;"",C14&lt;&gt;""),(C9-C10)/C14,""),"")</f>
        <v/>
      </c>
      <c r="D17" s="443" t="s">
        <v>301</v>
      </c>
      <c r="E17" s="60"/>
      <c r="F17" s="82" t="s">
        <v>430</v>
      </c>
      <c r="G17" s="113">
        <f>Formularz!E71*IF(Formularz!E131&lt;&gt;"",Formularz!E131,1)*1150</f>
        <v>0</v>
      </c>
    </row>
    <row r="18" spans="1:7" ht="15" thickBot="1">
      <c r="A18" s="411"/>
      <c r="B18" s="442"/>
      <c r="C18" s="440"/>
      <c r="D18" s="444"/>
      <c r="E18" s="60"/>
      <c r="F18" s="82" t="s">
        <v>431</v>
      </c>
      <c r="G18" s="113">
        <f>Formularz!E145*1150</f>
        <v>0</v>
      </c>
    </row>
    <row r="19" spans="1:7">
      <c r="E19" s="60"/>
      <c r="F19" s="82" t="s">
        <v>432</v>
      </c>
      <c r="G19" s="113">
        <f>IF(Formularz!E50="Net-metering (opusty)",Formularz!E106*Formularz!E103+IF('Kalkulator mocy energii'!M10&gt;10,0.7,0.8)*Formularz!E109*Formularz!E103,Formularz!E106*Formularz!E103)*1150</f>
        <v>0</v>
      </c>
    </row>
    <row r="20" spans="1:7" ht="15" hidden="1" thickBot="1">
      <c r="A20" s="430" t="s">
        <v>91</v>
      </c>
      <c r="B20" s="431"/>
      <c r="C20" s="431"/>
      <c r="D20" s="432"/>
      <c r="E20" s="60"/>
      <c r="F20" s="22"/>
      <c r="G20" s="114"/>
    </row>
    <row r="21" spans="1:7" ht="15" hidden="1" thickBot="1">
      <c r="A21" s="421" t="s">
        <v>92</v>
      </c>
      <c r="B21" s="9" t="s">
        <v>93</v>
      </c>
      <c r="C21" s="74" t="str">
        <f>IF(ISBLANK(Formularz!E106),"Uzupełnij pole w części 1",Formularz!E106)</f>
        <v>Uzupełnij pole w części 1</v>
      </c>
      <c r="D21" s="1" t="s">
        <v>94</v>
      </c>
      <c r="E21" s="62"/>
    </row>
    <row r="22" spans="1:7" ht="15" hidden="1" thickBot="1">
      <c r="A22" s="422"/>
      <c r="B22" s="9" t="s">
        <v>95</v>
      </c>
      <c r="C22" s="74">
        <v>1150</v>
      </c>
      <c r="D22" s="1" t="s">
        <v>217</v>
      </c>
      <c r="E22" s="60"/>
    </row>
    <row r="23" spans="1:7" ht="15" hidden="1" thickBot="1">
      <c r="A23" s="422"/>
      <c r="B23" s="9" t="s">
        <v>96</v>
      </c>
      <c r="C23" s="74" t="str">
        <f>IF(ISBLANK(Formularz!E32),"Uzupełnij pole w części 1",Formularz!E32)</f>
        <v>Uzupełnij pole w części 1</v>
      </c>
      <c r="D23" s="1" t="s">
        <v>97</v>
      </c>
      <c r="E23" s="60"/>
    </row>
    <row r="24" spans="1:7" ht="15" hidden="1" thickBot="1">
      <c r="A24" s="423" t="s">
        <v>98</v>
      </c>
      <c r="B24" s="424"/>
      <c r="C24" s="424"/>
      <c r="D24" s="425"/>
      <c r="E24" s="60"/>
    </row>
    <row r="25" spans="1:7" ht="15" hidden="1" thickBot="1">
      <c r="A25" s="421" t="s">
        <v>99</v>
      </c>
      <c r="B25" s="2" t="s">
        <v>93</v>
      </c>
      <c r="C25" s="74" t="str">
        <f>IF(ISBLANK(Formularz!E109),"Uzupełnij pole w części 1",Formularz!E109)</f>
        <v/>
      </c>
      <c r="D25" s="1" t="s">
        <v>100</v>
      </c>
      <c r="E25" s="62"/>
    </row>
    <row r="26" spans="1:7" ht="28.2" hidden="1" thickBot="1">
      <c r="A26" s="422"/>
      <c r="B26" s="2" t="s">
        <v>95</v>
      </c>
      <c r="C26" s="74">
        <v>477.24</v>
      </c>
      <c r="D26" s="1" t="s">
        <v>236</v>
      </c>
      <c r="E26" s="62"/>
    </row>
    <row r="27" spans="1:7" ht="15" hidden="1" thickBot="1">
      <c r="A27" s="433"/>
      <c r="B27" s="2" t="s">
        <v>96</v>
      </c>
      <c r="C27" s="74" t="str">
        <f>IF(ISBLANK(Formularz!E32),"Uzupełnij pole w części 1",Formularz!E32)</f>
        <v>Uzupełnij pole w części 1</v>
      </c>
      <c r="D27" s="1" t="s">
        <v>97</v>
      </c>
      <c r="E27" s="62"/>
    </row>
    <row r="28" spans="1:7" ht="27.6" hidden="1" customHeight="1" thickBot="1">
      <c r="A28" s="423" t="s">
        <v>101</v>
      </c>
      <c r="B28" s="424"/>
      <c r="C28" s="424"/>
      <c r="D28" s="425"/>
      <c r="E28" s="60"/>
    </row>
    <row r="29" spans="1:7" ht="31.8" hidden="1" customHeight="1" thickBot="1">
      <c r="A29" s="426" t="s">
        <v>220</v>
      </c>
      <c r="B29" s="427"/>
      <c r="C29" s="428"/>
      <c r="D29" s="75" t="str">
        <f>IF(ISBLANK(Formularz!E80),"Uzupełnij pole w części 1 (jeśli dotyczy)",Formularz!E80)</f>
        <v>Uzupełnij pole w części 1 (jeśli dotyczy)</v>
      </c>
      <c r="E29" s="60"/>
    </row>
    <row r="30" spans="1:7" ht="31.8" hidden="1" customHeight="1" thickBot="1">
      <c r="A30" s="426" t="s">
        <v>219</v>
      </c>
      <c r="B30" s="427"/>
      <c r="C30" s="428"/>
      <c r="D30" s="75" t="str">
        <f>IF(ISBLANK(Formularz!E147),"Uzupełnij pole w części 1 (jeśli dotyczy)",Formularz!E147)</f>
        <v>Uzupełnij pole w części 1 (jeśli dotyczy)</v>
      </c>
      <c r="E30" s="60"/>
    </row>
    <row r="31" spans="1:7" ht="28.2" hidden="1" thickBot="1">
      <c r="A31" s="10" t="s">
        <v>102</v>
      </c>
      <c r="B31" s="2" t="s">
        <v>103</v>
      </c>
      <c r="C31" s="74" t="str">
        <f>IF(ISBLANK(Formularz!E136),"Uzupełnij pole w części 1 (jeśli dotyczy)",Formularz!E136)</f>
        <v>Uzupełnij pole w części 1 (jeśli dotyczy)</v>
      </c>
      <c r="D31" s="1" t="s">
        <v>104</v>
      </c>
      <c r="E31" s="60"/>
    </row>
    <row r="32" spans="1:7" ht="28.2" hidden="1" thickBot="1">
      <c r="A32" s="10"/>
      <c r="B32" s="2" t="s">
        <v>105</v>
      </c>
      <c r="C32" s="76" t="str">
        <f>IF(ISBLANK(Formularz!E83),"Uzupełnij pole w części 1 (jeśli dotyczy)",Formularz!E83)</f>
        <v>Uzupełnij pole w części 1 (jeśli dotyczy)</v>
      </c>
      <c r="D32" s="1" t="s">
        <v>106</v>
      </c>
      <c r="E32" s="60"/>
    </row>
    <row r="33" spans="1:7" ht="28.2" hidden="1" thickBot="1">
      <c r="A33" s="10" t="s">
        <v>79</v>
      </c>
      <c r="B33" s="2" t="s">
        <v>80</v>
      </c>
      <c r="C33" s="76" t="str">
        <f>IF(AND(ISBLANK(Formularz!E86), ISBLANK(Formularz!E88)),"Uzupełnij pole w części 1 (jeśli dotyczy)",Formularz!E86+Formularz!E88)</f>
        <v>Uzupełnij pole w części 1 (jeśli dotyczy)</v>
      </c>
      <c r="D33" s="1" t="s">
        <v>218</v>
      </c>
      <c r="E33" s="60"/>
    </row>
    <row r="34" spans="1:7" ht="28.2" hidden="1" thickBot="1">
      <c r="A34" s="10" t="s">
        <v>82</v>
      </c>
      <c r="B34" s="2" t="s">
        <v>80</v>
      </c>
      <c r="C34" s="76" t="str">
        <f>IF(AND(ISBLANK(Formularz!E151),ISBLANK(Formularz!E161)),"Uzupełnij pola w części 1 (jeśli dotyczy)",Formularz!E151+Formularz!E161)</f>
        <v>Uzupełnij pola w części 1 (jeśli dotyczy)</v>
      </c>
      <c r="D34" s="1" t="s">
        <v>83</v>
      </c>
      <c r="E34" s="60"/>
    </row>
    <row r="35" spans="1:7" ht="15" thickBot="1">
      <c r="E35" s="60"/>
    </row>
    <row r="36" spans="1:7" ht="30.75" customHeight="1" thickBot="1">
      <c r="A36" s="430" t="s">
        <v>107</v>
      </c>
      <c r="B36" s="431"/>
      <c r="C36" s="431"/>
      <c r="D36" s="432"/>
      <c r="E36" s="60"/>
      <c r="F36" s="429" t="s">
        <v>302</v>
      </c>
      <c r="G36" s="429"/>
    </row>
    <row r="37" spans="1:7" ht="15" thickBot="1">
      <c r="A37" s="59" t="s">
        <v>108</v>
      </c>
      <c r="B37" s="55" t="s">
        <v>109</v>
      </c>
      <c r="C37" s="77" t="str">
        <f>IFERROR(C9/(Formularz!E136+Formularz!E97),"")</f>
        <v/>
      </c>
      <c r="D37" s="54" t="s">
        <v>110</v>
      </c>
      <c r="E37" s="60"/>
      <c r="F37" s="115" t="s">
        <v>406</v>
      </c>
      <c r="G37" s="113">
        <v>300</v>
      </c>
    </row>
    <row r="38" spans="1:7" ht="15" thickBot="1">
      <c r="A38" s="10" t="s">
        <v>111</v>
      </c>
      <c r="B38" s="2" t="s">
        <v>283</v>
      </c>
      <c r="C38" s="76" t="str">
        <f>IFERROR(C9/('Redukcja emisji'!C32),"")</f>
        <v/>
      </c>
      <c r="D38" s="1" t="s">
        <v>112</v>
      </c>
      <c r="E38" s="60"/>
      <c r="F38" s="38" t="s">
        <v>433</v>
      </c>
      <c r="G38" s="113">
        <f>IFERROR((IF(Formularz!E50="Net-metering (opusty)",0,Formularz!E109*Formularz!E103))*G37,0)</f>
        <v>0</v>
      </c>
    </row>
  </sheetData>
  <sheetProtection sheet="1" objects="1" scenarios="1"/>
  <mergeCells count="19">
    <mergeCell ref="C17:C18"/>
    <mergeCell ref="B17:B18"/>
    <mergeCell ref="D17:D18"/>
    <mergeCell ref="A17:A18"/>
    <mergeCell ref="A20:D20"/>
    <mergeCell ref="A1:D1"/>
    <mergeCell ref="B2:B4"/>
    <mergeCell ref="A2:A4"/>
    <mergeCell ref="A16:D16"/>
    <mergeCell ref="F1:G1"/>
    <mergeCell ref="F10:G10"/>
    <mergeCell ref="A21:A23"/>
    <mergeCell ref="A24:D24"/>
    <mergeCell ref="A29:C29"/>
    <mergeCell ref="A30:C30"/>
    <mergeCell ref="F36:G36"/>
    <mergeCell ref="A36:D36"/>
    <mergeCell ref="A25:A27"/>
    <mergeCell ref="A28:D28"/>
  </mergeCells>
  <dataValidations count="3">
    <dataValidation operator="greaterThanOrEqual" allowBlank="1" showInputMessage="1" showErrorMessage="1" error=" " sqref="C5" xr:uid="{F61DF75F-78A2-4163-9B3C-07D45ACAB124}"/>
    <dataValidation type="decimal" operator="greaterThanOrEqual" allowBlank="1" showInputMessage="1" showErrorMessage="1" error="Należy wpisać tylko liczbę." sqref="C22" xr:uid="{4F53855C-5096-48E5-AB38-14E0A3DB6CFB}">
      <formula1>0</formula1>
    </dataValidation>
    <dataValidation operator="greaterThanOrEqual" allowBlank="1" showInputMessage="1" showErrorMessage="1" sqref="C25:C27 C21 C23 C7:C13 C32:C34 C38 G37" xr:uid="{F268FD0A-5832-4270-86EB-7FC188BFCE69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76F-D0A3-4772-904A-9B6E019154E6}">
  <sheetPr codeName="Arkusz6"/>
  <dimension ref="A1:D20"/>
  <sheetViews>
    <sheetView zoomScale="130" zoomScaleNormal="130" workbookViewId="0">
      <selection activeCell="D12" sqref="D12"/>
    </sheetView>
  </sheetViews>
  <sheetFormatPr defaultRowHeight="14.4"/>
  <cols>
    <col min="1" max="1" width="8.77734375" style="15"/>
    <col min="2" max="2" width="51.5546875" customWidth="1"/>
  </cols>
  <sheetData>
    <row r="1" spans="1:4">
      <c r="A1" s="12" t="s">
        <v>113</v>
      </c>
    </row>
    <row r="2" spans="1:4">
      <c r="A2" s="18" t="s">
        <v>114</v>
      </c>
    </row>
    <row r="3" spans="1:4">
      <c r="A3" s="12"/>
    </row>
    <row r="4" spans="1:4">
      <c r="A4" s="12" t="s">
        <v>115</v>
      </c>
    </row>
    <row r="5" spans="1:4">
      <c r="A5" s="12" t="s">
        <v>116</v>
      </c>
    </row>
    <row r="6" spans="1:4">
      <c r="A6" s="12" t="s">
        <v>117</v>
      </c>
      <c r="C6" s="18" t="s">
        <v>114</v>
      </c>
    </row>
    <row r="7" spans="1:4">
      <c r="A7" s="13"/>
    </row>
    <row r="8" spans="1:4">
      <c r="A8" s="13" t="s">
        <v>118</v>
      </c>
    </row>
    <row r="9" spans="1:4">
      <c r="A9" s="12" t="s">
        <v>119</v>
      </c>
    </row>
    <row r="10" spans="1:4">
      <c r="A10" s="13"/>
    </row>
    <row r="11" spans="1:4">
      <c r="A11" s="13" t="s">
        <v>120</v>
      </c>
      <c r="D11" s="11" t="s">
        <v>121</v>
      </c>
    </row>
    <row r="12" spans="1:4">
      <c r="A12" s="13" t="s">
        <v>122</v>
      </c>
    </row>
    <row r="13" spans="1:4">
      <c r="A13" s="13" t="s">
        <v>123</v>
      </c>
    </row>
    <row r="14" spans="1:4">
      <c r="A14" s="13" t="s">
        <v>124</v>
      </c>
    </row>
    <row r="15" spans="1:4">
      <c r="A15" s="13"/>
    </row>
    <row r="16" spans="1:4">
      <c r="A16" s="13" t="s">
        <v>125</v>
      </c>
    </row>
    <row r="17" spans="1:2">
      <c r="A17" s="13"/>
    </row>
    <row r="18" spans="1:2">
      <c r="A18" s="17" t="s">
        <v>126</v>
      </c>
      <c r="B18" s="16"/>
    </row>
    <row r="19" spans="1:2">
      <c r="A19" s="14"/>
    </row>
    <row r="20" spans="1:2">
      <c r="A20" s="13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DB4C-D737-4B29-806B-60B5FE14DD2A}">
  <sheetPr codeName="Arkusz5">
    <tabColor theme="6" tint="-0.249977111117893"/>
  </sheetPr>
  <dimension ref="A1:G32"/>
  <sheetViews>
    <sheetView showGridLines="0" topLeftCell="A7" zoomScale="90" zoomScaleNormal="90" workbookViewId="0">
      <selection activeCell="C19" sqref="C19:D19"/>
    </sheetView>
  </sheetViews>
  <sheetFormatPr defaultRowHeight="14.4"/>
  <cols>
    <col min="1" max="1" width="25" customWidth="1"/>
    <col min="2" max="2" width="11.77734375" customWidth="1"/>
    <col min="5" max="5" width="26.21875" customWidth="1"/>
    <col min="6" max="6" width="73" bestFit="1" customWidth="1"/>
    <col min="7" max="7" width="38.77734375" customWidth="1"/>
  </cols>
  <sheetData>
    <row r="1" spans="1:7" ht="15" thickBot="1">
      <c r="A1" s="430" t="s">
        <v>128</v>
      </c>
      <c r="B1" s="431"/>
      <c r="C1" s="431"/>
      <c r="D1" s="431"/>
      <c r="E1" s="432"/>
    </row>
    <row r="2" spans="1:7" ht="27.6" customHeight="1" thickBot="1">
      <c r="A2" s="454" t="s">
        <v>233</v>
      </c>
      <c r="B2" s="455"/>
      <c r="C2" s="455"/>
      <c r="D2" s="455"/>
      <c r="E2" s="456"/>
    </row>
    <row r="3" spans="1:7" ht="27.6" customHeight="1" thickBot="1">
      <c r="A3" s="451" t="s">
        <v>297</v>
      </c>
      <c r="B3" s="452"/>
      <c r="C3" s="452"/>
      <c r="D3" s="452"/>
      <c r="E3" s="453"/>
    </row>
    <row r="4" spans="1:7" ht="15" thickBot="1">
      <c r="A4" s="430" t="s">
        <v>231</v>
      </c>
      <c r="B4" s="431"/>
      <c r="C4" s="431"/>
      <c r="D4" s="431"/>
      <c r="E4" s="431"/>
    </row>
    <row r="5" spans="1:7" ht="39.75" customHeight="1" thickBot="1">
      <c r="A5" s="10" t="s">
        <v>415</v>
      </c>
      <c r="B5" s="2" t="s">
        <v>129</v>
      </c>
      <c r="C5" s="445" t="str">
        <f>IF(Formularz!E26="☒ TAK",IF(AND(ISBLANK(Formularz!E68),ISBLANK(Formularz!E54)),"Uzupełnij pole w formularzu",Formularz!E68+Formularz!E54),"Nie dotyczy")</f>
        <v>Nie dotyczy</v>
      </c>
      <c r="D5" s="446"/>
      <c r="E5" s="69" t="s">
        <v>414</v>
      </c>
    </row>
    <row r="6" spans="1:7" ht="39.75" customHeight="1" thickBot="1">
      <c r="A6" s="10" t="s">
        <v>416</v>
      </c>
      <c r="B6" s="2" t="s">
        <v>129</v>
      </c>
      <c r="C6" s="445" t="str">
        <f>IF(Formularz!E26="☒ TAK",IF(AND(ISBLANK(Formularz!E68),ISBLANK(Formularz!E54)),"Uzupełnij pole w formularzu",IF(Formularz!E68+Formularz!E54-Formularz!E40&lt;0,0,Formularz!E68+Formularz!E54-Formularz!E40)),"Nie dotyczy")</f>
        <v>Nie dotyczy</v>
      </c>
      <c r="D6" s="446"/>
      <c r="E6" s="69" t="s">
        <v>434</v>
      </c>
      <c r="F6" s="68"/>
    </row>
    <row r="7" spans="1:7" ht="15" thickBot="1">
      <c r="A7" s="10" t="s">
        <v>130</v>
      </c>
      <c r="B7" s="2" t="s">
        <v>131</v>
      </c>
      <c r="C7" s="445">
        <v>553</v>
      </c>
      <c r="D7" s="446"/>
      <c r="E7" s="70" t="s">
        <v>132</v>
      </c>
      <c r="F7" s="22"/>
      <c r="G7" s="22"/>
    </row>
    <row r="8" spans="1:7" ht="28.2" thickBot="1">
      <c r="A8" s="10" t="s">
        <v>271</v>
      </c>
      <c r="B8" s="2" t="s">
        <v>277</v>
      </c>
      <c r="C8" s="449">
        <f>IFERROR(IF(IF(AND(C6&lt;&gt;"",C7&lt;&gt;""),(IF(C6="Nie dotyczy",0,C6)*C7)/1000,0)&lt;0,0,IF(C6="Nie dotyczy",0,C6)*C7/1000),0)</f>
        <v>0</v>
      </c>
      <c r="D8" s="450"/>
      <c r="E8" s="1" t="s">
        <v>276</v>
      </c>
    </row>
    <row r="9" spans="1:7" ht="15" thickBot="1">
      <c r="A9" s="430" t="s">
        <v>232</v>
      </c>
      <c r="B9" s="431"/>
      <c r="C9" s="431"/>
      <c r="D9" s="431"/>
      <c r="E9" s="432"/>
    </row>
    <row r="10" spans="1:7" ht="31.35" customHeight="1" thickBot="1">
      <c r="A10" s="10" t="s">
        <v>134</v>
      </c>
      <c r="B10" s="2" t="s">
        <v>371</v>
      </c>
      <c r="C10" s="445" t="str">
        <f>IF(Formularz!E28="☒ TAK",IF(Formularz!E77&lt;&gt;"Pompa ciepła",IF(AND(ISBLANK(Formularz!E83),ISBLANK(Formularz!E57)),"Uzupełnij pole w formularzu",Formularz!E83+Formularz!E57),"Nie dotyczy"),"Nie dotyczy")</f>
        <v>Nie dotyczy</v>
      </c>
      <c r="D10" s="446"/>
      <c r="E10" s="1" t="s">
        <v>238</v>
      </c>
    </row>
    <row r="11" spans="1:7" ht="29.4" thickBot="1">
      <c r="A11" s="10" t="s">
        <v>135</v>
      </c>
      <c r="B11" s="2" t="s">
        <v>372</v>
      </c>
      <c r="C11" s="447">
        <f>IFERROR(IF(Formularz!E80&lt;&gt;"",VLOOKUP(Formularz!E80,Parametry!$A$51:$D$74,4,0),VLOOKUP("Gaz ciekły (przydomowe zbiorniki LPG tankowane z cystern) [m3/rok]",Parametry!$A$51:$D$74,4,0)),"")</f>
        <v>2.5404060000000004</v>
      </c>
      <c r="D11" s="448"/>
      <c r="E11" s="1" t="s">
        <v>132</v>
      </c>
      <c r="F11" s="62" t="s">
        <v>296</v>
      </c>
    </row>
    <row r="12" spans="1:7" ht="16.8" thickBot="1">
      <c r="A12" s="10" t="s">
        <v>272</v>
      </c>
      <c r="B12" s="2" t="s">
        <v>277</v>
      </c>
      <c r="C12" s="449">
        <f>IFERROR(IF(AND(C10&lt;&gt;"",C11&lt;&gt;""),(IF(C10="Nie dotyczy",0,C10)*C11)/IF(Formularz!E80="",11,IF(ISNUMBER(SEARCH("Gaz",Formularz!E80)),11,1000)),""),"")</f>
        <v>0</v>
      </c>
      <c r="D12" s="450"/>
      <c r="E12" s="1" t="s">
        <v>275</v>
      </c>
    </row>
    <row r="13" spans="1:7" ht="15" thickBot="1">
      <c r="A13" s="430" t="s">
        <v>274</v>
      </c>
      <c r="B13" s="431"/>
      <c r="C13" s="431"/>
      <c r="D13" s="431"/>
      <c r="E13" s="431"/>
    </row>
    <row r="14" spans="1:7" ht="16.8" thickBot="1">
      <c r="A14" s="59" t="s">
        <v>273</v>
      </c>
      <c r="B14" s="81" t="s">
        <v>277</v>
      </c>
      <c r="C14" s="449">
        <f>IFERROR(C8+C12,"")</f>
        <v>0</v>
      </c>
      <c r="D14" s="450"/>
      <c r="E14" s="69" t="s">
        <v>278</v>
      </c>
    </row>
    <row r="15" spans="1:7" ht="15" thickBot="1">
      <c r="A15" s="451" t="s">
        <v>234</v>
      </c>
      <c r="B15" s="452"/>
      <c r="C15" s="452"/>
      <c r="D15" s="452"/>
      <c r="E15" s="453"/>
    </row>
    <row r="16" spans="1:7" ht="15" thickBot="1">
      <c r="A16" s="430" t="s">
        <v>231</v>
      </c>
      <c r="B16" s="431"/>
      <c r="C16" s="431"/>
      <c r="D16" s="431"/>
      <c r="E16" s="432"/>
    </row>
    <row r="17" spans="1:5" ht="39.75" customHeight="1" thickBot="1">
      <c r="A17" s="10" t="s">
        <v>266</v>
      </c>
      <c r="B17" s="2" t="s">
        <v>129</v>
      </c>
      <c r="C17" s="445" t="str">
        <f>IF(Formularz!E26="☒ TAK",IF(AND(ISBLANK(Formularz!E68),ISBLANK(Formularz!E54)),"Uzupełnij pole w formularzu",Formularz!E54+IF(Formularz!E74="",0,Formularz!E74)+(Formularz!E71*IF(Formularz!E131&lt;&gt;"",Formularz!E131,1))),"Nie dotyczy")</f>
        <v>Nie dotyczy</v>
      </c>
      <c r="D17" s="446"/>
      <c r="E17" s="1" t="s">
        <v>264</v>
      </c>
    </row>
    <row r="18" spans="1:5" ht="39.75" customHeight="1" thickBot="1">
      <c r="A18" s="10" t="s">
        <v>267</v>
      </c>
      <c r="B18" s="2" t="s">
        <v>129</v>
      </c>
      <c r="C18" s="445" t="str">
        <f>IF(Formularz!E28="☒ TAK",IF(Formularz!E133="Biomasa",0,IF(ISBLANK(Formularz!E145),"Uzupełnij pole w formularzu",Formularz!E145)),"Nie dotyczy")</f>
        <v>Nie dotyczy</v>
      </c>
      <c r="D18" s="446"/>
      <c r="E18" s="1" t="s">
        <v>392</v>
      </c>
    </row>
    <row r="19" spans="1:5" ht="39.75" customHeight="1" thickBot="1">
      <c r="A19" s="10" t="s">
        <v>99</v>
      </c>
      <c r="B19" s="2" t="s">
        <v>129</v>
      </c>
      <c r="C19" s="445" t="str">
        <f>IF(Formularz!E26="☒ TAK",IF(AND(ISBLANK(Formularz!E103),ISBLANK(Formularz!E40)),"Uzupełnij pole w formularzu",Formularz!E103+Formularz!E40-IF(Formularz!E37&gt;0,Formularz!D95/Formularz!E37*Formularz!E40,0)),"Nie dotyczy")</f>
        <v>Nie dotyczy</v>
      </c>
      <c r="D19" s="446"/>
      <c r="E19" s="1" t="s">
        <v>265</v>
      </c>
    </row>
    <row r="20" spans="1:5" ht="39.75" customHeight="1" thickBot="1">
      <c r="A20" s="10" t="s">
        <v>269</v>
      </c>
      <c r="B20" s="2" t="s">
        <v>129</v>
      </c>
      <c r="C20" s="445">
        <f>IFERROR(IF(IF(C17="Nie dotyczy",0,C17)+IF(C18="Nie dotyczy",0,C18)-IF(C19="Nie dotyczy",0,C19)&lt;0,0,IF(C17="Nie dotyczy",0,C17)+IF(C18="Nie dotyczy",0,C18)-IF(C19="Nie dotyczy",0,C19)),"")</f>
        <v>0</v>
      </c>
      <c r="D20" s="446"/>
      <c r="E20" s="1" t="s">
        <v>270</v>
      </c>
    </row>
    <row r="21" spans="1:5" ht="39.75" customHeight="1" thickBot="1">
      <c r="A21" s="10" t="s">
        <v>309</v>
      </c>
      <c r="B21" s="2" t="s">
        <v>129</v>
      </c>
      <c r="C21" s="445">
        <f>IFERROR(IF(IF(C17="Nie dotyczy",0,C17)+IF(C18="Nie dotyczy",0,C18)-IF(C19="Nie dotyczy",0,C19)&lt;0,(IF(C17="Nie dotyczy",0,C17)+IF(C18="Nie dotyczy",0,C18)-IF(C19="Nie dotyczy",0,C19))*(-1),0),"")</f>
        <v>0</v>
      </c>
      <c r="D21" s="446"/>
      <c r="E21" s="1" t="s">
        <v>310</v>
      </c>
    </row>
    <row r="22" spans="1:5" ht="15" thickBot="1">
      <c r="A22" s="10" t="s">
        <v>130</v>
      </c>
      <c r="B22" s="2" t="s">
        <v>131</v>
      </c>
      <c r="C22" s="445">
        <v>553</v>
      </c>
      <c r="D22" s="446"/>
      <c r="E22" s="1" t="s">
        <v>132</v>
      </c>
    </row>
    <row r="23" spans="1:5" ht="16.8" thickBot="1">
      <c r="A23" s="10" t="s">
        <v>279</v>
      </c>
      <c r="B23" s="2" t="s">
        <v>277</v>
      </c>
      <c r="C23" s="449">
        <f>IFERROR(IF(AND(C17&lt;&gt;"",C22&lt;&gt;""),(C20*C22)/1000,""),"")</f>
        <v>0</v>
      </c>
      <c r="D23" s="450"/>
      <c r="E23" s="1" t="s">
        <v>136</v>
      </c>
    </row>
    <row r="24" spans="1:5" ht="28.2" thickBot="1">
      <c r="A24" s="59" t="s">
        <v>312</v>
      </c>
      <c r="B24" s="81" t="s">
        <v>277</v>
      </c>
      <c r="C24" s="449">
        <f>IFERROR((C21*C22)/1000,0)</f>
        <v>0</v>
      </c>
      <c r="D24" s="450"/>
      <c r="E24" s="69" t="s">
        <v>311</v>
      </c>
    </row>
    <row r="25" spans="1:5" ht="15" thickBot="1">
      <c r="A25" s="430" t="s">
        <v>232</v>
      </c>
      <c r="B25" s="431"/>
      <c r="C25" s="431"/>
      <c r="D25" s="431"/>
      <c r="E25" s="432"/>
    </row>
    <row r="26" spans="1:5" ht="47.25" customHeight="1" thickBot="1">
      <c r="A26" s="10" t="s">
        <v>134</v>
      </c>
      <c r="B26" s="2" t="s">
        <v>373</v>
      </c>
      <c r="C26" s="445" t="str">
        <f>IF(Formularz!E28="☒ TAK",IF(AND(Formularz!E133&lt;&gt;"Biomasa",Formularz!E133&lt;&gt;"Instalacja gazowa"),"Nie dotyczy",IF(ISBLANK(Formularz!E149),"Uzupełnij pole w formularzu (jeżeli dotyczy)",Formularz!E149)),"Nie dotyczy")</f>
        <v>Nie dotyczy</v>
      </c>
      <c r="D26" s="446"/>
      <c r="E26" s="1" t="s">
        <v>238</v>
      </c>
    </row>
    <row r="27" spans="1:5" ht="15" thickBot="1">
      <c r="A27" s="10" t="s">
        <v>135</v>
      </c>
      <c r="B27" s="2" t="s">
        <v>372</v>
      </c>
      <c r="C27" s="445" t="str">
        <f>IF(Formularz!E28="☒ TAK",IF(Formularz!E133&lt;&gt;"Biomasa","Nie dotyczy",IFERROR(VLOOKUP(Formularz!E147,Parametry!$A$51:$D$74,4,0),"")),"Nie dotyczy")</f>
        <v>Nie dotyczy</v>
      </c>
      <c r="D27" s="446"/>
      <c r="E27" s="1" t="s">
        <v>132</v>
      </c>
    </row>
    <row r="28" spans="1:5" ht="16.8" thickBot="1">
      <c r="A28" s="10" t="s">
        <v>280</v>
      </c>
      <c r="B28" s="2" t="s">
        <v>277</v>
      </c>
      <c r="C28" s="449">
        <f>IFERROR(IF(AND(C26&lt;&gt;"",C27&lt;&gt;""),(C26*C27)/1000,0),0)</f>
        <v>0</v>
      </c>
      <c r="D28" s="450"/>
      <c r="E28" s="1" t="s">
        <v>136</v>
      </c>
    </row>
    <row r="29" spans="1:5" ht="15" thickBot="1">
      <c r="A29" s="430" t="s">
        <v>281</v>
      </c>
      <c r="B29" s="431"/>
      <c r="C29" s="431"/>
      <c r="D29" s="431"/>
      <c r="E29" s="431"/>
    </row>
    <row r="30" spans="1:5" ht="30.6" thickBot="1">
      <c r="A30" s="59" t="s">
        <v>282</v>
      </c>
      <c r="B30" s="81" t="s">
        <v>277</v>
      </c>
      <c r="C30" s="449">
        <f>IFERROR(C23+C28,0)</f>
        <v>0</v>
      </c>
      <c r="D30" s="450"/>
      <c r="E30" s="69" t="s">
        <v>298</v>
      </c>
    </row>
    <row r="31" spans="1:5" ht="15" thickBot="1">
      <c r="A31" s="430" t="s">
        <v>390</v>
      </c>
      <c r="B31" s="431"/>
      <c r="C31" s="431"/>
      <c r="D31" s="431"/>
      <c r="E31" s="432"/>
    </row>
    <row r="32" spans="1:5" ht="30.6" thickBot="1">
      <c r="A32" s="10" t="s">
        <v>133</v>
      </c>
      <c r="B32" s="2" t="s">
        <v>277</v>
      </c>
      <c r="C32" s="449">
        <f>IFERROR(C14-C30+C24,"")</f>
        <v>0</v>
      </c>
      <c r="D32" s="450"/>
      <c r="E32" s="1" t="s">
        <v>391</v>
      </c>
    </row>
  </sheetData>
  <sheetProtection sheet="1" objects="1" scenarios="1"/>
  <mergeCells count="32">
    <mergeCell ref="C32:D32"/>
    <mergeCell ref="A29:E29"/>
    <mergeCell ref="C30:D30"/>
    <mergeCell ref="C19:D19"/>
    <mergeCell ref="C20:D20"/>
    <mergeCell ref="A31:E31"/>
    <mergeCell ref="C23:D23"/>
    <mergeCell ref="A25:E25"/>
    <mergeCell ref="C26:D26"/>
    <mergeCell ref="C27:D27"/>
    <mergeCell ref="C28:D28"/>
    <mergeCell ref="C21:D21"/>
    <mergeCell ref="C24:D24"/>
    <mergeCell ref="C8:D8"/>
    <mergeCell ref="A1:E1"/>
    <mergeCell ref="A2:E2"/>
    <mergeCell ref="A4:E4"/>
    <mergeCell ref="C5:D5"/>
    <mergeCell ref="C7:D7"/>
    <mergeCell ref="A3:E3"/>
    <mergeCell ref="C6:D6"/>
    <mergeCell ref="A16:E16"/>
    <mergeCell ref="C17:D17"/>
    <mergeCell ref="C22:D22"/>
    <mergeCell ref="C18:D18"/>
    <mergeCell ref="A9:E9"/>
    <mergeCell ref="C10:D10"/>
    <mergeCell ref="C11:D11"/>
    <mergeCell ref="C12:D12"/>
    <mergeCell ref="A15:E15"/>
    <mergeCell ref="A13:E13"/>
    <mergeCell ref="C14:D14"/>
  </mergeCells>
  <dataValidations count="2">
    <dataValidation operator="greaterThanOrEqual" allowBlank="1" showInputMessage="1" showErrorMessage="1" sqref="D22:D23 C26:D28 C10:D11 C17:C24 D17 C5:D8" xr:uid="{BBC1CA9C-2493-4EC9-AB60-06C2026F0548}"/>
    <dataValidation operator="greaterThanOrEqual" allowBlank="1" showInputMessage="1" showErrorMessage="1" error="Należy wpisać tylko liczbę." sqref="D12:D13 C12:C14 D29 C29:C30" xr:uid="{BA989ECA-DA22-485F-86D9-032ED7E8BCF9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1F9906688444EBC2B221B061E1640" ma:contentTypeVersion="5" ma:contentTypeDescription="Create a new document." ma:contentTypeScope="" ma:versionID="6c1bc1cb28714055f2d5497cadf0a8a0">
  <xsd:schema xmlns:xsd="http://www.w3.org/2001/XMLSchema" xmlns:xs="http://www.w3.org/2001/XMLSchema" xmlns:p="http://schemas.microsoft.com/office/2006/metadata/properties" xmlns:ns3="9d546e83-352c-42c2-a651-787dc9f76f01" targetNamespace="http://schemas.microsoft.com/office/2006/metadata/properties" ma:root="true" ma:fieldsID="f813ae3a63d64406e39e61f7cfe550ac" ns3:_="">
    <xsd:import namespace="9d546e83-352c-42c2-a651-787dc9f76f0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46e83-352c-42c2-a651-787dc9f76f0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546e83-352c-42c2-a651-787dc9f76f01" xsi:nil="true"/>
  </documentManagement>
</p:properties>
</file>

<file path=customXml/itemProps1.xml><?xml version="1.0" encoding="utf-8"?>
<ds:datastoreItem xmlns:ds="http://schemas.openxmlformats.org/officeDocument/2006/customXml" ds:itemID="{9D4776B1-15EC-43B2-A1CF-0E2E9D1C61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3645EE-F6B1-49D2-AF36-421C2A5629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46e83-352c-42c2-a651-787dc9f76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EFEBD-241B-4D27-BE37-21AC9124B1F7}">
  <ds:schemaRefs>
    <ds:schemaRef ds:uri="http://purl.org/dc/elements/1.1/"/>
    <ds:schemaRef ds:uri="9d546e83-352c-42c2-a651-787dc9f76f01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23</vt:i4>
      </vt:variant>
    </vt:vector>
  </HeadingPairs>
  <TitlesOfParts>
    <vt:vector size="34" baseType="lpstr">
      <vt:lpstr>Opis</vt:lpstr>
      <vt:lpstr>Formularz</vt:lpstr>
      <vt:lpstr>Harmonogram rzecz-finanso</vt:lpstr>
      <vt:lpstr>Kalkulator mocy energii</vt:lpstr>
      <vt:lpstr>Osiągnięte efekty</vt:lpstr>
      <vt:lpstr>Koszty instalacji</vt:lpstr>
      <vt:lpstr>Analiza efektywności</vt:lpstr>
      <vt:lpstr>końcowa karta weryfikacyjna</vt:lpstr>
      <vt:lpstr>Redukcja emisji</vt:lpstr>
      <vt:lpstr>Parametry</vt:lpstr>
      <vt:lpstr>Stawki referencyjne</vt:lpstr>
      <vt:lpstr>Formularz!_ftn2</vt:lpstr>
      <vt:lpstr>'końcowa karta weryfikacyjna'!_Hlk172481909</vt:lpstr>
      <vt:lpstr>Biomasa</vt:lpstr>
      <vt:lpstr>Fundusze_Europejskie_dla_Województwa_Dolnośląskiego__Działanie_2.5_Instrumenty_finansowe_na_OZE</vt:lpstr>
      <vt:lpstr>Fundusze_Europejskie_dla_Województwa_Lubelskiego__Działanie_4.10_Wykorzystanie_OZE_w_gospodarce</vt:lpstr>
      <vt:lpstr>Fundusze_Europejskie_dla_Województwa_Lubelskiego__Działanie_4.7_Zwiększenie_wykorzystania_Odnawialnych_Źródeł_Energii</vt:lpstr>
      <vt:lpstr>Fundusze_Europejskie_dla_Województwa_Lubuskiego__Działanie_2.4_Odnawialne_źródła_energii_–_instrumenty_zwrotne</vt:lpstr>
      <vt:lpstr>Fundusze_Europejskie_dla_Województwa_Łódzkiego__Działanie_2.7_Odnawialne_źródła_energii_–_IF</vt:lpstr>
      <vt:lpstr>Fundusze_Europejskie_dla_Województwa_Małopolskiego__Działanie_2.22_Wsparcie_rozwoju_OZE___ZIT__IIT___Instrumenty_finansowe</vt:lpstr>
      <vt:lpstr>Fundusze_Europejskie_dla_Województwa_Małopolskiego__Działanie_2.8_Wsparcie_rozwoju_OZE___Instrumenty_finansowe</vt:lpstr>
      <vt:lpstr>Fundusze_Europejskie_dla_Województwa_Mazowieckiego__Działanie_2.3_Pożyczka_na_OZE_dla_RWS___Odnawialne_źródła_energii</vt:lpstr>
      <vt:lpstr>Fundusze_Europejskie_dla_Województwa_Mazowieckiego__Działanie_2.3_Pożyczki_na_OZE_dla_RMR___Odnawialne_źródła_energii</vt:lpstr>
      <vt:lpstr>Fundusze_Europejskie_dla_Województwa_Opolskiego__Działanie_2.7_Instrumenty_finansowe_w_obszarze_środowiska</vt:lpstr>
      <vt:lpstr>Fundusze_Europejskie_dla_Województwa_Podkarpackiego__Działanie_2.4_Odnawialne_źródła_energii_–_IF</vt:lpstr>
      <vt:lpstr>Fundusze_Europejskie_dla_Województwa_Podlaskiego__Działanie_2.5_Pożyczki_na_energię_odnawialną</vt:lpstr>
      <vt:lpstr>Fundusze_Europejskie_dla_Województwa_Świętokrzyskiego__Działanie_2.4_Zielona_energia_–_IF</vt:lpstr>
      <vt:lpstr>Fundusze_Europejskie_dla_Województwa_Warmińsko_Mazurskiego__Działanie_2.6_Odnawialne_źródła_energii_IF</vt:lpstr>
      <vt:lpstr>Fundusze_Europejskie_dla_Województwa_Wielkopolskiego__Działanie_2.4_Rozwój_energii_odnawialnej__OZE____Instrumenty_Finansowe</vt:lpstr>
      <vt:lpstr>Fundusze_Europejskie_dla_Województwa_Zachodniopomorskiego__Działanie_2.9_Wsparcie_rozwoju_OZE_poprzez_instrumenty_finansowe</vt:lpstr>
      <vt:lpstr>Instalacja_gazowa</vt:lpstr>
      <vt:lpstr>Kominek</vt:lpstr>
      <vt:lpstr>Kotły_na_paliwa_stałe</vt:lpstr>
      <vt:lpstr>Formularz!Obszar_wydruku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Marlena Mikołajczak</dc:creator>
  <cp:keywords/>
  <dc:description/>
  <cp:lastModifiedBy>Błażejak Ewa (DMK)</cp:lastModifiedBy>
  <cp:revision/>
  <cp:lastPrinted>2026-06-03T09:47:53Z</cp:lastPrinted>
  <dcterms:created xsi:type="dcterms:W3CDTF">2025-11-20T06:52:31Z</dcterms:created>
  <dcterms:modified xsi:type="dcterms:W3CDTF">2026-07-31T06:32:50Z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8bcff-e2d1-47e2-adc1-b3354af02961_Enabled">
    <vt:lpwstr>true</vt:lpwstr>
  </property>
  <property fmtid="{D5CDD505-2E9C-101B-9397-08002B2CF9AE}" pid="3" name="MSIP_Label_c668bcff-e2d1-47e2-adc1-b3354af02961_SetDate">
    <vt:lpwstr>2025-11-20T13:23:49Z</vt:lpwstr>
  </property>
  <property fmtid="{D5CDD505-2E9C-101B-9397-08002B2CF9AE}" pid="4" name="MSIP_Label_c668bcff-e2d1-47e2-adc1-b3354af02961_Method">
    <vt:lpwstr>Privileged</vt:lpwstr>
  </property>
  <property fmtid="{D5CDD505-2E9C-101B-9397-08002B2CF9AE}" pid="5" name="MSIP_Label_c668bcff-e2d1-47e2-adc1-b3354af02961_Name">
    <vt:lpwstr>c668bcff-e2d1-47e2-adc1-b3354af02961</vt:lpwstr>
  </property>
  <property fmtid="{D5CDD505-2E9C-101B-9397-08002B2CF9AE}" pid="6" name="MSIP_Label_c668bcff-e2d1-47e2-adc1-b3354af02961_SiteId">
    <vt:lpwstr>29bb5b9c-200a-4906-89ef-c651c86ab301</vt:lpwstr>
  </property>
  <property fmtid="{D5CDD505-2E9C-101B-9397-08002B2CF9AE}" pid="7" name="MSIP_Label_c668bcff-e2d1-47e2-adc1-b3354af02961_ActionId">
    <vt:lpwstr>a0c39952-7bff-4516-a9c3-e66d826cb485</vt:lpwstr>
  </property>
  <property fmtid="{D5CDD505-2E9C-101B-9397-08002B2CF9AE}" pid="8" name="MSIP_Label_c668bcff-e2d1-47e2-adc1-b3354af02961_ContentBits">
    <vt:lpwstr>0</vt:lpwstr>
  </property>
  <property fmtid="{D5CDD505-2E9C-101B-9397-08002B2CF9AE}" pid="9" name="MSIP_Label_c668bcff-e2d1-47e2-adc1-b3354af02961_Tag">
    <vt:lpwstr>10, 0, 1, 1</vt:lpwstr>
  </property>
  <property fmtid="{D5CDD505-2E9C-101B-9397-08002B2CF9AE}" pid="10" name="ContentTypeId">
    <vt:lpwstr>0x0101009D11F9906688444EBC2B221B061E1640</vt:lpwstr>
  </property>
  <property fmtid="{D5CDD505-2E9C-101B-9397-08002B2CF9AE}" pid="11" name="MSIP_Label_da0d7ebb-8d5f-4d70-ab59-1b8ea1828e86_Enabled">
    <vt:lpwstr>true</vt:lpwstr>
  </property>
  <property fmtid="{D5CDD505-2E9C-101B-9397-08002B2CF9AE}" pid="12" name="MSIP_Label_da0d7ebb-8d5f-4d70-ab59-1b8ea1828e86_SetDate">
    <vt:lpwstr>2026-07-30T12:39:48Z</vt:lpwstr>
  </property>
  <property fmtid="{D5CDD505-2E9C-101B-9397-08002B2CF9AE}" pid="13" name="MSIP_Label_da0d7ebb-8d5f-4d70-ab59-1b8ea1828e86_Method">
    <vt:lpwstr>Privileged</vt:lpwstr>
  </property>
  <property fmtid="{D5CDD505-2E9C-101B-9397-08002B2CF9AE}" pid="14" name="MSIP_Label_da0d7ebb-8d5f-4d70-ab59-1b8ea1828e86_Name">
    <vt:lpwstr>da0d7ebb-8d5f-4d70-ab59-1b8ea1828e86</vt:lpwstr>
  </property>
  <property fmtid="{D5CDD505-2E9C-101B-9397-08002B2CF9AE}" pid="15" name="MSIP_Label_da0d7ebb-8d5f-4d70-ab59-1b8ea1828e86_SiteId">
    <vt:lpwstr>f496e8ac-cda8-4c70-b009-f8e1cc805d20</vt:lpwstr>
  </property>
  <property fmtid="{D5CDD505-2E9C-101B-9397-08002B2CF9AE}" pid="16" name="MSIP_Label_da0d7ebb-8d5f-4d70-ab59-1b8ea1828e86_ActionId">
    <vt:lpwstr>60d3cdc0-27d5-4e15-922d-51c8c8d32309</vt:lpwstr>
  </property>
  <property fmtid="{D5CDD505-2E9C-101B-9397-08002B2CF9AE}" pid="17" name="MSIP_Label_da0d7ebb-8d5f-4d70-ab59-1b8ea1828e86_ContentBits">
    <vt:lpwstr>0</vt:lpwstr>
  </property>
  <property fmtid="{D5CDD505-2E9C-101B-9397-08002B2CF9AE}" pid="18" name="MSIP_Label_da0d7ebb-8d5f-4d70-ab59-1b8ea1828e86_Tag">
    <vt:lpwstr>10, 0, 1, 1</vt:lpwstr>
  </property>
</Properties>
</file>